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ch-102989741/Shared Documents/Project/05 Project execution/Deliverables/Regie opdrachten/Oktober 25 - Aanpassingen Instrument/Opgeleverd/"/>
    </mc:Choice>
  </mc:AlternateContent>
  <xr:revisionPtr revIDLastSave="354" documentId="8_{BCF10037-6DA3-4400-BF16-A9AAE7718CCE}" xr6:coauthVersionLast="47" xr6:coauthVersionMax="47" xr10:uidLastSave="{AF493373-8231-4FEE-B296-648316E27005}"/>
  <bookViews>
    <workbookView xWindow="-4995" yWindow="-16200" windowWidth="19410" windowHeight="15585" xr2:uid="{FBB52AF6-213F-4836-80F7-44FFBC50115C}"/>
  </bookViews>
  <sheets>
    <sheet name="Puntensysteem Amersfoort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R52" i="8"/>
  <c r="H14" i="8"/>
  <c r="R66" i="8"/>
  <c r="B28" i="8"/>
  <c r="P64" i="8"/>
  <c r="P63" i="8"/>
  <c r="P62" i="8"/>
  <c r="P61" i="8"/>
  <c r="P60" i="8"/>
  <c r="P59" i="8"/>
  <c r="P58" i="8"/>
  <c r="O25" i="8" l="1"/>
  <c r="B34" i="8"/>
  <c r="C34" i="8" s="1"/>
  <c r="P42" i="8"/>
  <c r="B47" i="8" l="1"/>
  <c r="G66" i="8"/>
  <c r="P22" i="8" l="1"/>
  <c r="P28" i="8"/>
  <c r="O66" i="8"/>
  <c r="O74" i="8" l="1"/>
  <c r="H15" i="8" s="1"/>
  <c r="B73" i="8"/>
  <c r="C73" i="8" s="1"/>
  <c r="B65" i="8"/>
  <c r="C65" i="8" s="1"/>
  <c r="M64" i="8"/>
  <c r="H64" i="8"/>
  <c r="G64" i="8"/>
  <c r="M63" i="8"/>
  <c r="H63" i="8"/>
  <c r="G63" i="8"/>
  <c r="B63" i="8" s="1"/>
  <c r="C63" i="8" s="1"/>
  <c r="M62" i="8"/>
  <c r="G62" i="8"/>
  <c r="M61" i="8"/>
  <c r="G61" i="8"/>
  <c r="M60" i="8"/>
  <c r="H60" i="8"/>
  <c r="G60" i="8"/>
  <c r="M59" i="8"/>
  <c r="G59" i="8"/>
  <c r="M58" i="8"/>
  <c r="G58" i="8"/>
  <c r="B57" i="8"/>
  <c r="C57" i="8" s="1"/>
  <c r="G56" i="8"/>
  <c r="G55" i="8"/>
  <c r="H13" i="8"/>
  <c r="M51" i="8"/>
  <c r="B51" i="8"/>
  <c r="C51" i="8" s="1"/>
  <c r="M50" i="8"/>
  <c r="B50" i="8"/>
  <c r="C50" i="8" s="1"/>
  <c r="M49" i="8"/>
  <c r="B49" i="8"/>
  <c r="C49" i="8" s="1"/>
  <c r="B48" i="8"/>
  <c r="C48" i="8" s="1"/>
  <c r="B46" i="8"/>
  <c r="C46" i="8" s="1"/>
  <c r="B45" i="8"/>
  <c r="C45" i="8" s="1"/>
  <c r="B44" i="8"/>
  <c r="C44" i="8" s="1"/>
  <c r="B43" i="8"/>
  <c r="C43" i="8" s="1"/>
  <c r="M42" i="8"/>
  <c r="B42" i="8" s="1"/>
  <c r="C42" i="8" s="1"/>
  <c r="B41" i="8"/>
  <c r="C41" i="8" s="1"/>
  <c r="M38" i="8"/>
  <c r="B38" i="8"/>
  <c r="C38" i="8" s="1"/>
  <c r="G36" i="8"/>
  <c r="G34" i="8"/>
  <c r="B35" i="8" s="1"/>
  <c r="C35" i="8" s="1"/>
  <c r="G32" i="8"/>
  <c r="G31" i="8"/>
  <c r="G30" i="8"/>
  <c r="G29" i="8"/>
  <c r="R25" i="8"/>
  <c r="G25" i="8" s="1"/>
  <c r="B23" i="8"/>
  <c r="C23" i="8" s="1"/>
  <c r="P56" i="8"/>
  <c r="B36" i="8" l="1"/>
  <c r="C36" i="8" s="1"/>
  <c r="B58" i="8"/>
  <c r="C58" i="8" s="1"/>
  <c r="R74" i="8"/>
  <c r="G74" i="8" s="1"/>
  <c r="B61" i="8"/>
  <c r="C61" i="8" s="1"/>
  <c r="H12" i="8"/>
  <c r="B32" i="8"/>
  <c r="C32" i="8" s="1"/>
  <c r="B60" i="8"/>
  <c r="C60" i="8" s="1"/>
  <c r="G52" i="8"/>
  <c r="B59" i="8"/>
  <c r="C59" i="8" s="1"/>
  <c r="P71" i="8"/>
  <c r="M71" i="8" s="1"/>
  <c r="B71" i="8" s="1"/>
  <c r="C71" i="8" s="1"/>
  <c r="P21" i="8"/>
  <c r="M21" i="8" s="1"/>
  <c r="B21" i="8" s="1"/>
  <c r="B64" i="8"/>
  <c r="C64" i="8" s="1"/>
  <c r="P45" i="8"/>
  <c r="M45" i="8" s="1"/>
  <c r="P29" i="8"/>
  <c r="M29" i="8" s="1"/>
  <c r="B29" i="8" s="1"/>
  <c r="C29" i="8" s="1"/>
  <c r="P30" i="8"/>
  <c r="M30" i="8" s="1"/>
  <c r="B30" i="8" s="1"/>
  <c r="C30" i="8" s="1"/>
  <c r="P35" i="8"/>
  <c r="M35" i="8" s="1"/>
  <c r="P48" i="8"/>
  <c r="M48" i="8" s="1"/>
  <c r="B62" i="8"/>
  <c r="C62" i="8" s="1"/>
  <c r="P41" i="8"/>
  <c r="M41" i="8" s="1"/>
  <c r="P31" i="8"/>
  <c r="M31" i="8" s="1"/>
  <c r="B31" i="8" s="1"/>
  <c r="C31" i="8" s="1"/>
  <c r="P36" i="8"/>
  <c r="M36" i="8" s="1"/>
  <c r="M28" i="8"/>
  <c r="C28" i="8" s="1"/>
  <c r="P44" i="8"/>
  <c r="M44" i="8" s="1"/>
  <c r="P32" i="8"/>
  <c r="M32" i="8" s="1"/>
  <c r="P24" i="8"/>
  <c r="M24" i="8" s="1"/>
  <c r="B24" i="8" s="1"/>
  <c r="Q44" i="8"/>
  <c r="P47" i="8"/>
  <c r="M47" i="8" s="1"/>
  <c r="C47" i="8" s="1"/>
  <c r="P69" i="8"/>
  <c r="M69" i="8" s="1"/>
  <c r="B69" i="8" s="1"/>
  <c r="P72" i="8"/>
  <c r="M72" i="8" s="1"/>
  <c r="B72" i="8" s="1"/>
  <c r="C72" i="8" s="1"/>
  <c r="P33" i="8"/>
  <c r="M33" i="8" s="1"/>
  <c r="B33" i="8" s="1"/>
  <c r="C33" i="8" s="1"/>
  <c r="P55" i="8"/>
  <c r="M55" i="8" s="1"/>
  <c r="B55" i="8" s="1"/>
  <c r="C55" i="8" s="1"/>
  <c r="P39" i="8"/>
  <c r="M39" i="8" s="1"/>
  <c r="B39" i="8" s="1"/>
  <c r="C39" i="8" s="1"/>
  <c r="P70" i="8"/>
  <c r="M70" i="8" s="1"/>
  <c r="B70" i="8" s="1"/>
  <c r="C70" i="8" s="1"/>
  <c r="P73" i="8"/>
  <c r="M73" i="8" s="1"/>
  <c r="M22" i="8"/>
  <c r="P40" i="8"/>
  <c r="M40" i="8" s="1"/>
  <c r="B40" i="8" s="1"/>
  <c r="C40" i="8" s="1"/>
  <c r="P43" i="8"/>
  <c r="M43" i="8" s="1"/>
  <c r="P34" i="8"/>
  <c r="M34" i="8" s="1"/>
  <c r="P37" i="8"/>
  <c r="M37" i="8" s="1"/>
  <c r="B37" i="8" s="1"/>
  <c r="C37" i="8" s="1"/>
  <c r="P46" i="8"/>
  <c r="M46" i="8" s="1"/>
  <c r="M56" i="8"/>
  <c r="B56" i="8" s="1"/>
  <c r="C56" i="8" s="1"/>
  <c r="B22" i="8" l="1"/>
  <c r="C22" i="8" s="1"/>
  <c r="C24" i="8"/>
  <c r="C66" i="8"/>
  <c r="B66" i="8"/>
  <c r="B52" i="8"/>
  <c r="B74" i="8"/>
  <c r="C69" i="8"/>
  <c r="C74" i="8" s="1"/>
  <c r="C21" i="8"/>
  <c r="C52" i="8"/>
  <c r="B25" i="8" l="1"/>
  <c r="C25" i="8"/>
</calcChain>
</file>

<file path=xl/sharedStrings.xml><?xml version="1.0" encoding="utf-8"?>
<sst xmlns="http://schemas.openxmlformats.org/spreadsheetml/2006/main" count="327" uniqueCount="175">
  <si>
    <t>stap 1</t>
  </si>
  <si>
    <t>Type ingreep:</t>
  </si>
  <si>
    <t>Gebiedstype</t>
  </si>
  <si>
    <t>stap 2</t>
  </si>
  <si>
    <t>Vul huidige situatie in de onderstaande tabel in</t>
  </si>
  <si>
    <t>stap 3a</t>
  </si>
  <si>
    <t>Bebouwde oppervlakte (in m²)</t>
  </si>
  <si>
    <t>&lt; invullen &gt;</t>
  </si>
  <si>
    <t>Hoogte van bebouwing (in m)</t>
  </si>
  <si>
    <t>Omvang project:</t>
  </si>
  <si>
    <t>stap 3b</t>
  </si>
  <si>
    <t>Punten te behalen:</t>
  </si>
  <si>
    <t>Bomen</t>
  </si>
  <si>
    <t>Omgeving</t>
  </si>
  <si>
    <t>Gebouw</t>
  </si>
  <si>
    <t>Verblijven</t>
  </si>
  <si>
    <t>stap 4</t>
  </si>
  <si>
    <t>Bepalen groene maatregelen</t>
  </si>
  <si>
    <t>zie stap 4</t>
  </si>
  <si>
    <t>Punten</t>
  </si>
  <si>
    <t>Categorie</t>
  </si>
  <si>
    <r>
      <t>Catalogus (</t>
    </r>
    <r>
      <rPr>
        <sz val="11"/>
        <color theme="0"/>
        <rFont val="Calibri"/>
        <family val="2"/>
      </rPr>
      <t>§</t>
    </r>
    <r>
      <rPr>
        <sz val="11"/>
        <color theme="0"/>
        <rFont val="Calibri"/>
        <family val="2"/>
        <scheme val="minor"/>
      </rPr>
      <t>)</t>
    </r>
  </si>
  <si>
    <t>Type maatregel</t>
  </si>
  <si>
    <t>Huidige situatie</t>
  </si>
  <si>
    <t>Nieuwe situatie</t>
  </si>
  <si>
    <t>Verlies</t>
  </si>
  <si>
    <t>Behoud</t>
  </si>
  <si>
    <t>Nieuw</t>
  </si>
  <si>
    <t>punten</t>
  </si>
  <si>
    <t>maximale punten</t>
  </si>
  <si>
    <t>vereist</t>
  </si>
  <si>
    <t>2.1</t>
  </si>
  <si>
    <t>Aantal bomen (compensatie met bomen)</t>
  </si>
  <si>
    <t>punt per boom</t>
  </si>
  <si>
    <t>bomen of meer</t>
  </si>
  <si>
    <t>2.2</t>
  </si>
  <si>
    <t>Kroonoppervlak bomen in m²</t>
  </si>
  <si>
    <t>punt per m2</t>
  </si>
  <si>
    <t>m² kroonoppervlak</t>
  </si>
  <si>
    <t>2.3</t>
  </si>
  <si>
    <t>Groeiplaatsverbetering bomen</t>
  </si>
  <si>
    <t xml:space="preserve">punt per 33,33% </t>
  </si>
  <si>
    <t>% groeiplaatsverbetering</t>
  </si>
  <si>
    <t>2.4</t>
  </si>
  <si>
    <t>m² bosplantsoen</t>
  </si>
  <si>
    <t xml:space="preserve">punt per m² </t>
  </si>
  <si>
    <t xml:space="preserve">m² </t>
  </si>
  <si>
    <t>Punten Bomen</t>
  </si>
  <si>
    <t>te behalen</t>
  </si>
  <si>
    <t>totaal aantal punten bomen</t>
  </si>
  <si>
    <t>3.1</t>
  </si>
  <si>
    <t>m² gazon</t>
  </si>
  <si>
    <t>punt per m² gazon</t>
  </si>
  <si>
    <t>3.2</t>
  </si>
  <si>
    <t>m² Kruiden- en faunarijk grasland</t>
  </si>
  <si>
    <t>m² of meer</t>
  </si>
  <si>
    <t>3.3</t>
  </si>
  <si>
    <t>80 cm hoge haag/heg (lengte in m)</t>
  </si>
  <si>
    <t>punt per m haag</t>
  </si>
  <si>
    <t>m haag (lengte)</t>
  </si>
  <si>
    <t>3.4</t>
  </si>
  <si>
    <t>2m hoge haag/heg (lengte in m)</t>
  </si>
  <si>
    <t>3.5</t>
  </si>
  <si>
    <t xml:space="preserve">3m hoge haag/heg hoogte </t>
  </si>
  <si>
    <t>3.6</t>
  </si>
  <si>
    <t>m² halfverharding</t>
  </si>
  <si>
    <t>3.7</t>
  </si>
  <si>
    <t>Natuurlijke Poel/vijver (10-20m²)</t>
  </si>
  <si>
    <t>punt per vijver</t>
  </si>
  <si>
    <t>x toepassen</t>
  </si>
  <si>
    <t>3.8</t>
  </si>
  <si>
    <t>Natuurlijke Poel/vijver &gt;20m² (bonuspunt)</t>
  </si>
  <si>
    <t>extra punt grote vijver</t>
  </si>
  <si>
    <t>x 20 m² of meer</t>
  </si>
  <si>
    <t>3.9</t>
  </si>
  <si>
    <t>Muur met muurplanten (lengte muur)</t>
  </si>
  <si>
    <t>punt per m muur</t>
  </si>
  <si>
    <t>m (lengte)</t>
  </si>
  <si>
    <t>3.10</t>
  </si>
  <si>
    <t>Aansluiting groene ruimte op stadsgroen</t>
  </si>
  <si>
    <t>punt per m tuin</t>
  </si>
  <si>
    <t>3.11</t>
  </si>
  <si>
    <t>Vergelijkbare beplanting groene structuur (advies ecoloog)</t>
  </si>
  <si>
    <t>punt voor toepassen</t>
  </si>
  <si>
    <t>3.12</t>
  </si>
  <si>
    <t>Steilwand voor bijen (incl. onderhoud) of ecologisch vergelijkbaar object (takkenhoop, stapelstenen, insectenhotel etc)</t>
  </si>
  <si>
    <t>punt per object</t>
  </si>
  <si>
    <t>3.13</t>
  </si>
  <si>
    <t>Faunapassage onder hekwerk (egel)</t>
  </si>
  <si>
    <t>punt voor toegang egel</t>
  </si>
  <si>
    <t>3.14</t>
  </si>
  <si>
    <t>Faunapassage onder hekwerk of weg (das, vos, ree, amfibieën)</t>
  </si>
  <si>
    <t xml:space="preserve">punt voor toegang </t>
  </si>
  <si>
    <t>3.15</t>
  </si>
  <si>
    <t>Groen aanplant (m² groen in plangebied)</t>
  </si>
  <si>
    <t>m² groen</t>
  </si>
  <si>
    <t>3.16</t>
  </si>
  <si>
    <t>Zoomvegetatie langs perceelsranden</t>
  </si>
  <si>
    <t>punt per m</t>
  </si>
  <si>
    <t>m zoomvegetatie</t>
  </si>
  <si>
    <t>3.17</t>
  </si>
  <si>
    <t>Pocketpark (minipark)</t>
  </si>
  <si>
    <t>3.18</t>
  </si>
  <si>
    <t>Rustzone fauna langs wateroever</t>
  </si>
  <si>
    <t>3.19</t>
  </si>
  <si>
    <t>Natuurvriendelijke oever</t>
  </si>
  <si>
    <t>3.20</t>
  </si>
  <si>
    <t>Drijvende oever (aantal)</t>
  </si>
  <si>
    <t>3.21</t>
  </si>
  <si>
    <t>Ecologische wadi</t>
  </si>
  <si>
    <t>3.22</t>
  </si>
  <si>
    <t>Behoud van braakliggend terrein (ecologisch advies)</t>
  </si>
  <si>
    <t>3.23</t>
  </si>
  <si>
    <t>Spontane vegetatie tolereren (met beheer)</t>
  </si>
  <si>
    <t>3.24</t>
  </si>
  <si>
    <t>Gebruik inheems plantmateriaal</t>
  </si>
  <si>
    <t>Punten Omgeving</t>
  </si>
  <si>
    <t>totaal aantal punten omgeving</t>
  </si>
  <si>
    <t>4.1</t>
  </si>
  <si>
    <t>Geveltuin (lengte in m)</t>
  </si>
  <si>
    <t xml:space="preserve">punt per m </t>
  </si>
  <si>
    <t>m (lengte gevel)</t>
  </si>
  <si>
    <t>4.2</t>
  </si>
  <si>
    <t>Gevelgroen (lengte v/d gevel in m)</t>
  </si>
  <si>
    <t>4.3</t>
  </si>
  <si>
    <t>Vermindering lichtuitstraling gebouw en/of buitenverlichting bij groen beperken</t>
  </si>
  <si>
    <t>lichtverstoring vermijden</t>
  </si>
  <si>
    <t>1x</t>
  </si>
  <si>
    <t>ecologisch lichtplan</t>
  </si>
  <si>
    <t>4.4</t>
  </si>
  <si>
    <t>Groen dak met sedum</t>
  </si>
  <si>
    <t>punt per m² dak</t>
  </si>
  <si>
    <t>m² dak of meer</t>
  </si>
  <si>
    <t>4.5</t>
  </si>
  <si>
    <t xml:space="preserve">Groen dak met sedum en zonnepanelen </t>
  </si>
  <si>
    <t>4.6</t>
  </si>
  <si>
    <t>Daktuin of biodivers dak</t>
  </si>
  <si>
    <t>4.7</t>
  </si>
  <si>
    <t>Daktuin of biodivers dak met zonnepanelen</t>
  </si>
  <si>
    <t>4.8</t>
  </si>
  <si>
    <t>Bruin dak</t>
  </si>
  <si>
    <t>4.9</t>
  </si>
  <si>
    <t>Blauwdak</t>
  </si>
  <si>
    <t>4.10</t>
  </si>
  <si>
    <t>Groen-blauwdak</t>
  </si>
  <si>
    <t>4.11</t>
  </si>
  <si>
    <t>Preventie raamslachtoffers onder vogels</t>
  </si>
  <si>
    <t>punten voor toepassen</t>
  </si>
  <si>
    <t>Punten Gebouw</t>
  </si>
  <si>
    <t>totaal aantal punten gebouw</t>
  </si>
  <si>
    <t>Verblijf</t>
  </si>
  <si>
    <t>5.1</t>
  </si>
  <si>
    <t>Nestvoorziening gierzwaluw</t>
  </si>
  <si>
    <t xml:space="preserve">punt per verblijf </t>
  </si>
  <si>
    <t>verblijven</t>
  </si>
  <si>
    <t>5.2</t>
  </si>
  <si>
    <t>Nestvoorziening huismus</t>
  </si>
  <si>
    <t>5.3</t>
  </si>
  <si>
    <t>Verblijfsvoorziening vleermuizen</t>
  </si>
  <si>
    <t>5.4</t>
  </si>
  <si>
    <t>Nestvoorziening halfholenbroeders</t>
  </si>
  <si>
    <t>5.5</t>
  </si>
  <si>
    <t>Overige soortspecifieke maatregel</t>
  </si>
  <si>
    <t>Punten Verblijven</t>
  </si>
  <si>
    <t>totaal aantal punten verblijven</t>
  </si>
  <si>
    <t>zie stap 2</t>
  </si>
  <si>
    <t>Te behalen punten (vóór maximum)</t>
  </si>
  <si>
    <t>m² gazon (intensief agrarisch land niet meenemen)</t>
  </si>
  <si>
    <t>Oppervlakte van projectgebied (in m²)
(minimaal 200m² *; maximaal 150.000m² **)</t>
  </si>
  <si>
    <t>&lt; invullen stap 1b &gt;</t>
  </si>
  <si>
    <t>&lt; oppervlakte invullen &gt;</t>
  </si>
  <si>
    <t>&lt; hoogte invullen &gt;</t>
  </si>
  <si>
    <r>
      <t>*</t>
    </r>
    <r>
      <rPr>
        <i/>
        <sz val="11"/>
        <color theme="1"/>
        <rFont val="Calibri"/>
        <family val="2"/>
        <scheme val="minor"/>
      </rPr>
      <t xml:space="preserve"> Is de oppervlakte van het projectgebied &lt; 200 m², neem dan contact op via groencompensatie@amersfoort.nl. </t>
    </r>
  </si>
  <si>
    <r>
      <t xml:space="preserve">** </t>
    </r>
    <r>
      <rPr>
        <i/>
        <sz val="11"/>
        <color theme="1"/>
        <rFont val="Calibri"/>
        <family val="2"/>
        <scheme val="minor"/>
      </rPr>
      <t xml:space="preserve">Is de oppervlakte van het projectgebied groter dan 150.000 m², neem dan contact op via groencompensatie@amersfoort.nl. </t>
    </r>
  </si>
  <si>
    <t>groene nieuwbouw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</si>
</sst>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/>
      <name val="Calibri"/>
      <family val="2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13" xfId="0" applyFont="1" applyBorder="1"/>
    <xf numFmtId="0" fontId="4" fillId="0" borderId="11" xfId="0" applyFont="1" applyBorder="1"/>
    <xf numFmtId="0" fontId="0" fillId="5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49" fontId="2" fillId="4" borderId="12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5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49" fontId="0" fillId="0" borderId="14" xfId="0" applyNumberFormat="1" applyBorder="1" applyAlignment="1">
      <alignment horizontal="center" vertical="top" wrapText="1"/>
    </xf>
    <xf numFmtId="49" fontId="0" fillId="5" borderId="14" xfId="0" applyNumberFormat="1" applyFill="1" applyBorder="1" applyAlignment="1">
      <alignment horizontal="center" vertical="top" wrapText="1"/>
    </xf>
    <xf numFmtId="0" fontId="0" fillId="0" borderId="20" xfId="0" applyBorder="1" applyAlignment="1">
      <alignment horizontal="center"/>
    </xf>
    <xf numFmtId="0" fontId="0" fillId="5" borderId="26" xfId="0" applyFill="1" applyBorder="1" applyAlignment="1">
      <alignment horizontal="center"/>
    </xf>
    <xf numFmtId="49" fontId="2" fillId="4" borderId="17" xfId="0" applyNumberFormat="1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0" borderId="18" xfId="0" applyBorder="1"/>
    <xf numFmtId="0" fontId="6" fillId="0" borderId="0" xfId="0" applyFont="1"/>
    <xf numFmtId="164" fontId="0" fillId="0" borderId="19" xfId="0" applyNumberFormat="1" applyBorder="1" applyAlignment="1">
      <alignment horizontal="center"/>
    </xf>
    <xf numFmtId="0" fontId="0" fillId="5" borderId="29" xfId="0" applyFill="1" applyBorder="1" applyAlignment="1">
      <alignment horizontal="left"/>
    </xf>
    <xf numFmtId="0" fontId="0" fillId="5" borderId="18" xfId="0" applyFill="1" applyBorder="1"/>
    <xf numFmtId="2" fontId="0" fillId="5" borderId="19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1" fillId="0" borderId="13" xfId="0" applyFont="1" applyBorder="1"/>
    <xf numFmtId="0" fontId="11" fillId="0" borderId="11" xfId="0" applyFont="1" applyBorder="1"/>
    <xf numFmtId="0" fontId="7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3" xfId="0" applyFont="1" applyBorder="1"/>
    <xf numFmtId="0" fontId="1" fillId="0" borderId="13" xfId="0" applyFont="1" applyBorder="1"/>
    <xf numFmtId="0" fontId="11" fillId="8" borderId="13" xfId="0" applyFon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0" borderId="0" xfId="0" applyAlignment="1">
      <alignment vertical="center"/>
    </xf>
    <xf numFmtId="49" fontId="0" fillId="0" borderId="14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9" borderId="20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7" fillId="9" borderId="24" xfId="0" applyFont="1" applyFill="1" applyBorder="1"/>
    <xf numFmtId="0" fontId="0" fillId="9" borderId="36" xfId="0" applyFill="1" applyBorder="1"/>
    <xf numFmtId="0" fontId="0" fillId="9" borderId="16" xfId="0" applyFill="1" applyBorder="1"/>
    <xf numFmtId="0" fontId="0" fillId="9" borderId="37" xfId="0" applyFill="1" applyBorder="1"/>
    <xf numFmtId="0" fontId="7" fillId="0" borderId="3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5" borderId="38" xfId="0" applyFont="1" applyFill="1" applyBorder="1" applyAlignment="1">
      <alignment horizontal="center"/>
    </xf>
    <xf numFmtId="0" fontId="2" fillId="4" borderId="0" xfId="0" applyFont="1" applyFill="1" applyAlignment="1">
      <alignment wrapText="1"/>
    </xf>
    <xf numFmtId="0" fontId="0" fillId="0" borderId="29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left"/>
    </xf>
    <xf numFmtId="0" fontId="7" fillId="5" borderId="38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8" xfId="0" applyFill="1" applyBorder="1" applyAlignment="1">
      <alignment horizontal="left" vertical="center"/>
    </xf>
    <xf numFmtId="0" fontId="0" fillId="5" borderId="25" xfId="0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4" borderId="2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2082-CCAB-40C9-BCB6-785691E7804E}">
  <dimension ref="A1:T74"/>
  <sheetViews>
    <sheetView tabSelected="1" topLeftCell="A7" zoomScaleNormal="100" workbookViewId="0">
      <selection activeCell="B7" sqref="B1:B1048576"/>
    </sheetView>
  </sheetViews>
  <sheetFormatPr defaultRowHeight="14.5" x14ac:dyDescent="0.35"/>
  <cols>
    <col min="1" max="1" width="1.7265625" customWidth="1"/>
    <col min="2" max="2" width="14.6328125" style="46" hidden="1" customWidth="1"/>
    <col min="3" max="3" width="7.7265625" customWidth="1"/>
    <col min="4" max="5" width="9.7265625" style="40" customWidth="1"/>
    <col min="6" max="6" width="58.81640625" style="1" customWidth="1"/>
    <col min="7" max="7" width="13.81640625" customWidth="1"/>
    <col min="8" max="8" width="9.81640625" customWidth="1"/>
    <col min="9" max="9" width="9.7265625" customWidth="1"/>
    <col min="10" max="10" width="10.08984375" customWidth="1"/>
    <col min="11" max="12" width="10.453125" customWidth="1"/>
    <col min="13" max="13" width="11.81640625" style="1" hidden="1" customWidth="1"/>
    <col min="14" max="14" width="20.81640625" style="1" hidden="1" customWidth="1"/>
    <col min="15" max="15" width="9.26953125" style="1" hidden="1" customWidth="1"/>
    <col min="16" max="16" width="8" style="1" hidden="1" customWidth="1"/>
    <col min="17" max="17" width="22.6328125" style="13" hidden="1" customWidth="1"/>
    <col min="18" max="18" width="12" hidden="1" customWidth="1"/>
    <col min="19" max="19" width="25.6328125" bestFit="1" customWidth="1"/>
    <col min="23" max="23" width="8.453125" customWidth="1"/>
    <col min="24" max="24" width="8.81640625" customWidth="1"/>
  </cols>
  <sheetData>
    <row r="1" spans="1:17" ht="15" thickBot="1" x14ac:dyDescent="0.4"/>
    <row r="2" spans="1:17" ht="15" thickBot="1" x14ac:dyDescent="0.4">
      <c r="A2" s="51"/>
      <c r="B2" s="52"/>
      <c r="C2" s="121" t="s">
        <v>0</v>
      </c>
      <c r="D2" s="123" t="s">
        <v>1</v>
      </c>
      <c r="E2" s="124"/>
      <c r="F2" s="125"/>
      <c r="G2" s="126" t="s">
        <v>174</v>
      </c>
      <c r="H2" s="127"/>
      <c r="J2" s="105" t="s">
        <v>172</v>
      </c>
      <c r="K2" s="105"/>
      <c r="L2" s="105"/>
    </row>
    <row r="3" spans="1:17" ht="15" thickBot="1" x14ac:dyDescent="0.4">
      <c r="A3" s="51"/>
      <c r="B3" s="52"/>
      <c r="C3" s="122"/>
      <c r="D3" s="123" t="s">
        <v>2</v>
      </c>
      <c r="E3" s="124"/>
      <c r="F3" s="125"/>
      <c r="G3" s="128" t="s">
        <v>169</v>
      </c>
      <c r="H3" s="129"/>
      <c r="J3" s="105"/>
      <c r="K3" s="105"/>
      <c r="L3" s="105"/>
    </row>
    <row r="4" spans="1:17" ht="15" thickBot="1" x14ac:dyDescent="0.4">
      <c r="A4" s="1"/>
      <c r="B4" s="47"/>
      <c r="C4" s="47"/>
      <c r="D4" s="44"/>
      <c r="E4" s="44"/>
      <c r="G4" s="1"/>
      <c r="J4" s="105"/>
      <c r="K4" s="105"/>
      <c r="L4" s="105"/>
    </row>
    <row r="5" spans="1:17" ht="15" thickBot="1" x14ac:dyDescent="0.4">
      <c r="A5" s="1"/>
      <c r="B5" s="47"/>
      <c r="C5" s="53" t="s">
        <v>3</v>
      </c>
      <c r="D5" s="116" t="s">
        <v>4</v>
      </c>
      <c r="E5" s="117"/>
      <c r="F5" s="118"/>
      <c r="G5" s="119" t="s">
        <v>165</v>
      </c>
      <c r="H5" s="120"/>
      <c r="J5" s="105"/>
      <c r="K5" s="105"/>
      <c r="L5" s="105"/>
    </row>
    <row r="6" spans="1:17" ht="15" thickBot="1" x14ac:dyDescent="0.4">
      <c r="C6" s="46"/>
    </row>
    <row r="7" spans="1:17" ht="30" customHeight="1" thickBot="1" x14ac:dyDescent="0.4">
      <c r="A7" s="134"/>
      <c r="B7" s="135"/>
      <c r="C7" s="54" t="s">
        <v>5</v>
      </c>
      <c r="D7" s="136" t="s">
        <v>168</v>
      </c>
      <c r="E7" s="137"/>
      <c r="F7" s="138"/>
      <c r="G7" s="139" t="s">
        <v>170</v>
      </c>
      <c r="H7" s="140"/>
      <c r="J7" s="106" t="s">
        <v>173</v>
      </c>
      <c r="K7" s="106"/>
      <c r="L7" s="106"/>
      <c r="O7" s="13"/>
      <c r="P7"/>
      <c r="Q7"/>
    </row>
    <row r="8" spans="1:17" ht="15" customHeight="1" thickBot="1" x14ac:dyDescent="0.4">
      <c r="A8" s="134"/>
      <c r="B8" s="135"/>
      <c r="C8" s="55"/>
      <c r="D8" s="107" t="s">
        <v>6</v>
      </c>
      <c r="E8" s="108"/>
      <c r="F8" s="109"/>
      <c r="G8" s="139" t="s">
        <v>170</v>
      </c>
      <c r="H8" s="140"/>
      <c r="J8" s="106"/>
      <c r="K8" s="106"/>
      <c r="L8" s="106"/>
      <c r="M8" s="45"/>
      <c r="O8" s="13"/>
      <c r="P8"/>
      <c r="Q8"/>
    </row>
    <row r="9" spans="1:17" ht="15" customHeight="1" thickBot="1" x14ac:dyDescent="0.4">
      <c r="A9" s="134"/>
      <c r="B9" s="135"/>
      <c r="C9" s="55"/>
      <c r="D9" s="141" t="s">
        <v>8</v>
      </c>
      <c r="E9" s="142"/>
      <c r="F9" s="143"/>
      <c r="G9" s="139" t="s">
        <v>171</v>
      </c>
      <c r="H9" s="140"/>
      <c r="J9" s="106"/>
      <c r="K9" s="106"/>
      <c r="L9" s="106"/>
      <c r="O9" s="13"/>
      <c r="P9"/>
      <c r="Q9"/>
    </row>
    <row r="10" spans="1:17" ht="44.15" customHeight="1" thickBot="1" x14ac:dyDescent="0.5">
      <c r="A10" s="134"/>
      <c r="B10" s="135"/>
      <c r="C10" s="56"/>
      <c r="D10" s="144" t="s">
        <v>9</v>
      </c>
      <c r="E10" s="145"/>
      <c r="F10" s="146"/>
      <c r="G10" s="147" t="str">
        <f>IF(G2="infrastructureel",IF(G7="&lt; oppervlakte invullen &gt;","&lt; eerst oppervlakte invullen &gt;",IF(OR(G7&gt;=20000,G9&gt;=30),"grootschalig project",IF(AND(G7&lt;=500,G9&lt;=15),"klein project",IF(AND(G7&lt;5000,G9&lt;=15),"kleinschalig project",IF(OR(AND(G7&lt;5000,G9&gt;15,G9&lt;30),AND(G7&gt;=5000,G7&lt;20000,G9&lt;30)),"middelgroot project","&lt;projectgrootte niet classificeerbaar FORMULEFOUT&gt;"))))),IF(OR(G7="&lt; oppervlakte invullen &gt;",G9="&lt; hoogte invullen &gt;"),"&lt; eerst oppervlakte en hoogte invullen &gt;",IF(OR(G7&gt;=20000,G9&gt;=30),"grootschalig project",IF(AND(G7&lt;=500,G9&lt;=15),"klein project",IF(AND(G7&lt;5000,G9&lt;=15),"kleinschalig project",IF(OR(AND(G7&lt;5000,G9&gt;15,G9&lt;30),AND(G7&gt;=5000,G7&lt;20000,G9&lt;30)),"middelgroot project","&lt;projectgrootte niet classificeerbaar FORMULEFOUT&gt;"))))))</f>
        <v>&lt; eerst oppervlakte en hoogte invullen &gt;</v>
      </c>
      <c r="H10" s="148"/>
      <c r="J10" s="1"/>
      <c r="K10" s="1"/>
      <c r="N10" s="33"/>
    </row>
    <row r="11" spans="1:17" ht="15" thickBot="1" x14ac:dyDescent="0.4">
      <c r="C11" s="46"/>
    </row>
    <row r="12" spans="1:17" x14ac:dyDescent="0.35">
      <c r="B12" s="135"/>
      <c r="C12" s="149" t="s">
        <v>10</v>
      </c>
      <c r="D12" s="110" t="s">
        <v>11</v>
      </c>
      <c r="E12" s="110"/>
      <c r="F12" s="111"/>
      <c r="G12" s="83" t="s">
        <v>12</v>
      </c>
      <c r="H12" s="81" t="e">
        <f>(0.145*LN(G7)-0.734)*O25</f>
        <v>#VALUE!</v>
      </c>
      <c r="I12" s="40"/>
    </row>
    <row r="13" spans="1:17" x14ac:dyDescent="0.35">
      <c r="B13" s="135"/>
      <c r="C13" s="150"/>
      <c r="D13" s="112"/>
      <c r="E13" s="112"/>
      <c r="F13" s="113"/>
      <c r="G13" s="84" t="s">
        <v>13</v>
      </c>
      <c r="H13" s="82" t="e">
        <f>(0.145*LN(G7)-0.734)*O52</f>
        <v>#VALUE!</v>
      </c>
      <c r="I13" s="40"/>
    </row>
    <row r="14" spans="1:17" x14ac:dyDescent="0.35">
      <c r="B14" s="135"/>
      <c r="C14" s="150"/>
      <c r="D14" s="112"/>
      <c r="E14" s="112"/>
      <c r="F14" s="113"/>
      <c r="G14" s="85" t="s">
        <v>14</v>
      </c>
      <c r="H14" s="79" t="e">
        <f>(0.145*LN(G8)-0.734)*O66</f>
        <v>#VALUE!</v>
      </c>
      <c r="I14" s="40"/>
    </row>
    <row r="15" spans="1:17" ht="15" thickBot="1" x14ac:dyDescent="0.4">
      <c r="B15" s="135"/>
      <c r="C15" s="151"/>
      <c r="D15" s="114"/>
      <c r="E15" s="114"/>
      <c r="F15" s="115"/>
      <c r="G15" s="86" t="s">
        <v>15</v>
      </c>
      <c r="H15" s="80" t="e">
        <f>(0.145*LN(G7)-0.734)*O74</f>
        <v>#VALUE!</v>
      </c>
      <c r="I15" s="40"/>
    </row>
    <row r="16" spans="1:17" ht="15" thickBot="1" x14ac:dyDescent="0.4">
      <c r="B16" s="48"/>
      <c r="C16" s="48"/>
      <c r="D16" s="43"/>
      <c r="E16" s="43"/>
      <c r="F16" s="12"/>
      <c r="H16" s="1"/>
    </row>
    <row r="17" spans="1:20" ht="15" thickBot="1" x14ac:dyDescent="0.4">
      <c r="B17" s="48"/>
      <c r="C17" s="53" t="s">
        <v>16</v>
      </c>
      <c r="D17" s="107" t="s">
        <v>17</v>
      </c>
      <c r="E17" s="108"/>
      <c r="F17" s="109"/>
      <c r="G17" s="119" t="s">
        <v>18</v>
      </c>
      <c r="H17" s="120"/>
    </row>
    <row r="18" spans="1:20" ht="15" thickBot="1" x14ac:dyDescent="0.4">
      <c r="B18" s="48"/>
      <c r="C18" s="43"/>
      <c r="D18" s="45"/>
      <c r="E18" s="45"/>
      <c r="F18" s="45"/>
      <c r="H18" s="1"/>
    </row>
    <row r="19" spans="1:20" ht="15" thickBot="1" x14ac:dyDescent="0.4">
      <c r="G19" s="53" t="s">
        <v>3</v>
      </c>
      <c r="H19" s="152" t="s">
        <v>16</v>
      </c>
      <c r="I19" s="153"/>
      <c r="J19" s="153"/>
      <c r="K19" s="154"/>
      <c r="P19" s="155"/>
      <c r="Q19" s="155"/>
    </row>
    <row r="20" spans="1:20" ht="43.5" x14ac:dyDescent="0.35">
      <c r="B20" s="49" t="s">
        <v>19</v>
      </c>
      <c r="C20" s="9" t="s">
        <v>19</v>
      </c>
      <c r="D20" s="7" t="s">
        <v>20</v>
      </c>
      <c r="E20" s="7" t="s">
        <v>21</v>
      </c>
      <c r="F20" s="7" t="s">
        <v>22</v>
      </c>
      <c r="G20" s="7" t="s">
        <v>23</v>
      </c>
      <c r="H20" s="7" t="s">
        <v>24</v>
      </c>
      <c r="I20" s="7" t="s">
        <v>25</v>
      </c>
      <c r="J20" s="7" t="s">
        <v>26</v>
      </c>
      <c r="K20" s="8" t="s">
        <v>27</v>
      </c>
      <c r="M20" s="156" t="s">
        <v>28</v>
      </c>
      <c r="N20" s="157"/>
      <c r="O20" s="29" t="s">
        <v>29</v>
      </c>
      <c r="P20" s="158" t="s">
        <v>30</v>
      </c>
      <c r="Q20" s="158"/>
      <c r="R20" s="90" t="s">
        <v>166</v>
      </c>
    </row>
    <row r="21" spans="1:20" x14ac:dyDescent="0.35">
      <c r="B21" s="87" t="e">
        <f>IF(G2="infrastructureel",IF(AND(G21&lt;&gt;0,K21&gt;=I21),(K21-I21+5)*(M21*2),IF(G21=J21,((K21*M21)+(G21)),IF(G21&gt;H21,(I21-K21)*-M21,IF(H21&gt;G21,(K21-I21)*(M21*2),0)))),IF(G21=J21,((K21*M21)+(G21)),IF(G21&gt;H21,(I21-K21)*-M21,IF(H21&gt;G21,(K21-I21)*(M21*0.5),0))))</f>
        <v>#DIV/0!</v>
      </c>
      <c r="C21" s="17" t="e">
        <f>B21</f>
        <v>#DIV/0!</v>
      </c>
      <c r="D21" s="58" t="s">
        <v>12</v>
      </c>
      <c r="E21" s="64" t="s">
        <v>31</v>
      </c>
      <c r="F21" s="64" t="s">
        <v>32</v>
      </c>
      <c r="G21" s="6">
        <v>0</v>
      </c>
      <c r="H21" s="6">
        <v>0</v>
      </c>
      <c r="I21" s="6">
        <v>0</v>
      </c>
      <c r="J21" s="6">
        <v>0</v>
      </c>
      <c r="K21" s="27">
        <v>0</v>
      </c>
      <c r="M21" s="34" t="e">
        <f>O21/P21</f>
        <v>#DIV/0!</v>
      </c>
      <c r="N21" s="6" t="s">
        <v>33</v>
      </c>
      <c r="O21" s="6">
        <v>7</v>
      </c>
      <c r="P21" s="22" t="b">
        <f>IF($G$10="klein project",6,IF($G$10="kleinschalig project",6,IF($G$10="middelgroot project",9,IF($G$10="grootschalig project",12))))</f>
        <v>0</v>
      </c>
      <c r="Q21" s="15" t="s">
        <v>34</v>
      </c>
    </row>
    <row r="22" spans="1:20" x14ac:dyDescent="0.35">
      <c r="B22" s="89" t="e">
        <f>IF(G2="infrastructureel",IF(AND(G22&lt;&gt;0,K22&gt;=I22),(K22-I22+100)*(M22*20),IF(G22=J22,((K22*M22)+(G22)),IF(G22&gt;H22,(I22-K22)*-M22,IF(H22&gt;G22,(K22-I22)*(M22*2),0)))),IF(G22=J22,((K22*M22)+(G22)),IF(G22&gt;H22,(I22-K22)*-M22,IF(H22&gt;G22,(K22-I22)*(M22*0.5),0))))</f>
        <v>#DIV/0!</v>
      </c>
      <c r="C22" s="17" t="e">
        <f>B22</f>
        <v>#DIV/0!</v>
      </c>
      <c r="D22" s="57" t="s">
        <v>12</v>
      </c>
      <c r="E22" s="19" t="s">
        <v>35</v>
      </c>
      <c r="F22" s="19" t="s">
        <v>36</v>
      </c>
      <c r="G22" s="5">
        <v>0</v>
      </c>
      <c r="H22" s="5">
        <v>0</v>
      </c>
      <c r="I22" s="5">
        <v>0</v>
      </c>
      <c r="J22" s="5">
        <v>0</v>
      </c>
      <c r="K22" s="18">
        <v>0</v>
      </c>
      <c r="M22" s="68" t="e">
        <f>O22/P22</f>
        <v>#DIV/0!</v>
      </c>
      <c r="N22" s="5" t="s">
        <v>37</v>
      </c>
      <c r="O22" s="5">
        <v>10</v>
      </c>
      <c r="P22" s="21" t="b">
        <f>IF($G$10="klein project",100,IF($G$10="kleinschalig project",1000,IF($G$10="middelgroot project",1500,IF($G$10="grootschalig project",2000))))</f>
        <v>0</v>
      </c>
      <c r="Q22" s="69" t="s">
        <v>38</v>
      </c>
    </row>
    <row r="23" spans="1:20" x14ac:dyDescent="0.35">
      <c r="B23" s="87">
        <f>IF(G23="&lt; invullen &gt;",0,IF(G23="1/3 groeiplaatsverbetering",1,IF(G23="2/3 groeiplaatsverbetering",2,IF(G23="100% groeiplaatsverbetering",3))))</f>
        <v>0</v>
      </c>
      <c r="C23" s="17">
        <f t="shared" ref="C23:C34" si="0">MIN(B23,O23)</f>
        <v>0</v>
      </c>
      <c r="D23" s="58" t="s">
        <v>12</v>
      </c>
      <c r="E23" s="64" t="s">
        <v>39</v>
      </c>
      <c r="F23" s="64" t="s">
        <v>40</v>
      </c>
      <c r="G23" s="132" t="s">
        <v>7</v>
      </c>
      <c r="H23" s="132"/>
      <c r="I23" s="132"/>
      <c r="J23" s="132"/>
      <c r="K23" s="133"/>
      <c r="M23" s="17">
        <v>1</v>
      </c>
      <c r="N23" s="6" t="s">
        <v>41</v>
      </c>
      <c r="O23" s="6">
        <v>3</v>
      </c>
      <c r="P23" s="1">
        <v>100</v>
      </c>
      <c r="Q23" s="15" t="s">
        <v>42</v>
      </c>
    </row>
    <row r="24" spans="1:20" x14ac:dyDescent="0.35">
      <c r="B24" s="89" t="e">
        <f>IF(G24=J24,((K24*M24)+(G24*(2*M24))),IF(G24&gt;H24,(I24-K24)*-(M24*5),IF(H24&gt;G24,(K24-I24)*M24,0)))</f>
        <v>#DIV/0!</v>
      </c>
      <c r="C24" s="16" t="e">
        <f t="shared" si="0"/>
        <v>#DIV/0!</v>
      </c>
      <c r="D24" s="57" t="s">
        <v>12</v>
      </c>
      <c r="E24" s="19" t="s">
        <v>43</v>
      </c>
      <c r="F24" s="19" t="s">
        <v>44</v>
      </c>
      <c r="G24" s="5">
        <v>0</v>
      </c>
      <c r="H24" s="5">
        <v>0</v>
      </c>
      <c r="I24" s="5">
        <v>0</v>
      </c>
      <c r="J24" s="5">
        <v>0</v>
      </c>
      <c r="K24" s="18">
        <v>0</v>
      </c>
      <c r="M24" s="68" t="e">
        <f t="shared" ref="M24:M51" si="1">O24/P24</f>
        <v>#DIV/0!</v>
      </c>
      <c r="N24" s="5" t="s">
        <v>45</v>
      </c>
      <c r="O24" s="5">
        <v>5</v>
      </c>
      <c r="P24" s="21" t="b">
        <f>IF($G$10="klein project",75,IF($G$10="kleinschalig project",75,IF($G$10="middelgroot project",150,IF($G$10="grootschalig project",500))))</f>
        <v>0</v>
      </c>
      <c r="Q24" s="30" t="s">
        <v>46</v>
      </c>
      <c r="T24" s="40"/>
    </row>
    <row r="25" spans="1:20" ht="21.5" thickBot="1" x14ac:dyDescent="0.55000000000000004">
      <c r="A25" s="2"/>
      <c r="B25" s="88" t="e">
        <f>SUM(B21:B24)</f>
        <v>#DIV/0!</v>
      </c>
      <c r="C25" s="39" t="e">
        <f>SUM(C21:C24)</f>
        <v>#DIV/0!</v>
      </c>
      <c r="D25" s="67"/>
      <c r="E25" s="67"/>
      <c r="F25" s="60" t="s">
        <v>47</v>
      </c>
      <c r="G25" s="65" t="e">
        <f>MIN(O25,R25)</f>
        <v>#VALUE!</v>
      </c>
      <c r="H25" s="65" t="s">
        <v>48</v>
      </c>
      <c r="I25" s="65"/>
      <c r="J25" s="61"/>
      <c r="K25" s="62"/>
      <c r="L25" s="40"/>
      <c r="M25" s="41"/>
      <c r="N25" s="42"/>
      <c r="O25" s="63">
        <f>SUM(O21:O24)</f>
        <v>25</v>
      </c>
      <c r="P25" s="159" t="s">
        <v>49</v>
      </c>
      <c r="Q25" s="160"/>
      <c r="R25" s="11" t="e">
        <f>(0.145*LN(G7)-0.734)*O25</f>
        <v>#VALUE!</v>
      </c>
    </row>
    <row r="26" spans="1:20" ht="15" thickBot="1" x14ac:dyDescent="0.4">
      <c r="B26" s="48"/>
      <c r="C26" s="43"/>
      <c r="D26" s="45"/>
      <c r="E26" s="45"/>
      <c r="F26" s="45"/>
      <c r="H26" s="1"/>
    </row>
    <row r="27" spans="1:20" ht="43.5" x14ac:dyDescent="0.35">
      <c r="B27" s="49" t="s">
        <v>19</v>
      </c>
      <c r="C27" s="9" t="s">
        <v>19</v>
      </c>
      <c r="D27" s="7" t="s">
        <v>20</v>
      </c>
      <c r="E27" s="7" t="s">
        <v>21</v>
      </c>
      <c r="F27" s="7" t="s">
        <v>22</v>
      </c>
      <c r="G27" s="7" t="s">
        <v>23</v>
      </c>
      <c r="H27" s="7" t="s">
        <v>24</v>
      </c>
      <c r="I27" s="7" t="s">
        <v>25</v>
      </c>
      <c r="J27" s="7" t="s">
        <v>26</v>
      </c>
      <c r="K27" s="8" t="s">
        <v>27</v>
      </c>
      <c r="M27" s="156" t="s">
        <v>28</v>
      </c>
      <c r="N27" s="157"/>
      <c r="O27" s="29" t="s">
        <v>29</v>
      </c>
      <c r="P27" s="161" t="s">
        <v>30</v>
      </c>
      <c r="Q27" s="162"/>
      <c r="R27" s="90" t="s">
        <v>166</v>
      </c>
    </row>
    <row r="28" spans="1:20" x14ac:dyDescent="0.35">
      <c r="B28" s="87">
        <f>IF(G28=H28,0,IF(G28&gt;H28,(I28-K28)*-(M28*0.1),IF(G28&lt;H28,(K28-I28)*M28,0)))</f>
        <v>0</v>
      </c>
      <c r="C28" s="17">
        <f>MIN(B28,O28)</f>
        <v>0</v>
      </c>
      <c r="D28" s="58" t="s">
        <v>13</v>
      </c>
      <c r="E28" s="64" t="s">
        <v>50</v>
      </c>
      <c r="F28" s="64" t="s">
        <v>167</v>
      </c>
      <c r="G28" s="6">
        <v>0</v>
      </c>
      <c r="H28" s="6">
        <v>0</v>
      </c>
      <c r="I28" s="6">
        <v>0</v>
      </c>
      <c r="J28" s="6">
        <v>0</v>
      </c>
      <c r="K28" s="27">
        <v>0</v>
      </c>
      <c r="M28" s="17" t="e">
        <f>O28/P28</f>
        <v>#DIV/0!</v>
      </c>
      <c r="N28" s="6" t="s">
        <v>52</v>
      </c>
      <c r="O28" s="6">
        <v>1</v>
      </c>
      <c r="P28" s="22" t="b">
        <f>IF($G$10="klein project",25,IF($G$10="kleinschalig project",50,IF($G$10="middelgroot project",100,IF($G$10="grootschalig project",200))))</f>
        <v>0</v>
      </c>
      <c r="Q28" s="15" t="s">
        <v>51</v>
      </c>
    </row>
    <row r="29" spans="1:20" x14ac:dyDescent="0.35">
      <c r="B29" s="89">
        <f>IF(G29=H29,0,IF(G29&gt;H29,(I29-K29)*-M29,IF(G29&lt;H29,(K29-I29)*M29,0)))</f>
        <v>0</v>
      </c>
      <c r="C29" s="16">
        <f>MIN(B29,O29)</f>
        <v>0</v>
      </c>
      <c r="D29" s="57" t="s">
        <v>13</v>
      </c>
      <c r="E29" s="19" t="s">
        <v>53</v>
      </c>
      <c r="F29" s="19" t="s">
        <v>54</v>
      </c>
      <c r="G29" s="5">
        <f>I29+J29</f>
        <v>0</v>
      </c>
      <c r="H29" s="5">
        <v>0</v>
      </c>
      <c r="I29" s="5">
        <v>0</v>
      </c>
      <c r="J29" s="5">
        <v>0</v>
      </c>
      <c r="K29" s="18">
        <v>0</v>
      </c>
      <c r="M29" s="16" t="e">
        <f>O29/P29</f>
        <v>#DIV/0!</v>
      </c>
      <c r="N29" s="5" t="s">
        <v>45</v>
      </c>
      <c r="O29" s="5">
        <v>3</v>
      </c>
      <c r="P29" s="21" t="b">
        <f>IF($G$10="klein project",35,IF($G$10="kleinschalig project",75,IF($G$10="middelgroot project",150,IF($G$10="grootschalig project",300))))</f>
        <v>0</v>
      </c>
      <c r="Q29" s="30" t="s">
        <v>55</v>
      </c>
    </row>
    <row r="30" spans="1:20" x14ac:dyDescent="0.35">
      <c r="B30" s="87">
        <f t="shared" ref="B30:B46" si="2">IF(G30=H30,0,IF(G30&gt;H30,(I30-K30)*-M30,IF(G30&lt;H30,(K30-I30)*M30,0)))</f>
        <v>0</v>
      </c>
      <c r="C30" s="17">
        <f t="shared" si="0"/>
        <v>0</v>
      </c>
      <c r="D30" s="58" t="s">
        <v>13</v>
      </c>
      <c r="E30" s="64" t="s">
        <v>56</v>
      </c>
      <c r="F30" s="64" t="s">
        <v>57</v>
      </c>
      <c r="G30" s="6">
        <f t="shared" ref="G30:G32" si="3">I30+J30</f>
        <v>0</v>
      </c>
      <c r="H30" s="6">
        <v>0</v>
      </c>
      <c r="I30" s="6">
        <v>0</v>
      </c>
      <c r="J30" s="6">
        <v>0</v>
      </c>
      <c r="K30" s="27">
        <v>0</v>
      </c>
      <c r="M30" s="17" t="e">
        <f t="shared" si="1"/>
        <v>#DIV/0!</v>
      </c>
      <c r="N30" s="6" t="s">
        <v>58</v>
      </c>
      <c r="O30" s="74">
        <v>1</v>
      </c>
      <c r="P30" s="22" t="b">
        <f>IF($G$10="klein project",5,IF($G$10="kleinschalig project",10,IF($G$10="middelgroot project",20,IF($G$10="grootschalig project",75))))</f>
        <v>0</v>
      </c>
      <c r="Q30" s="15" t="s">
        <v>59</v>
      </c>
    </row>
    <row r="31" spans="1:20" x14ac:dyDescent="0.35">
      <c r="B31" s="89">
        <f t="shared" si="2"/>
        <v>0</v>
      </c>
      <c r="C31" s="16">
        <f t="shared" si="0"/>
        <v>0</v>
      </c>
      <c r="D31" s="57" t="s">
        <v>13</v>
      </c>
      <c r="E31" s="19" t="s">
        <v>60</v>
      </c>
      <c r="F31" s="19" t="s">
        <v>61</v>
      </c>
      <c r="G31" s="5">
        <f t="shared" si="3"/>
        <v>0</v>
      </c>
      <c r="H31" s="5">
        <v>0</v>
      </c>
      <c r="I31" s="5">
        <v>0</v>
      </c>
      <c r="J31" s="5">
        <v>0</v>
      </c>
      <c r="K31" s="18">
        <v>0</v>
      </c>
      <c r="M31" s="16" t="e">
        <f t="shared" si="1"/>
        <v>#DIV/0!</v>
      </c>
      <c r="N31" s="5" t="s">
        <v>58</v>
      </c>
      <c r="O31" s="23">
        <v>3</v>
      </c>
      <c r="P31" s="21" t="b">
        <f>IF($G$10="klein project",5,IF($G$10="kleinschalig project",10,IF($G$10="middelgroot project",20,IF($G$10="grootschalig project",75))))</f>
        <v>0</v>
      </c>
      <c r="Q31" s="30" t="s">
        <v>59</v>
      </c>
    </row>
    <row r="32" spans="1:20" x14ac:dyDescent="0.35">
      <c r="B32" s="87">
        <f t="shared" si="2"/>
        <v>0</v>
      </c>
      <c r="C32" s="17">
        <f t="shared" si="0"/>
        <v>0</v>
      </c>
      <c r="D32" s="58" t="s">
        <v>13</v>
      </c>
      <c r="E32" s="64" t="s">
        <v>62</v>
      </c>
      <c r="F32" s="64" t="s">
        <v>63</v>
      </c>
      <c r="G32" s="6">
        <f t="shared" si="3"/>
        <v>0</v>
      </c>
      <c r="H32" s="6">
        <v>0</v>
      </c>
      <c r="I32" s="6">
        <v>0</v>
      </c>
      <c r="J32" s="6">
        <v>0</v>
      </c>
      <c r="K32" s="27">
        <v>0</v>
      </c>
      <c r="M32" s="17" t="e">
        <f t="shared" si="1"/>
        <v>#DIV/0!</v>
      </c>
      <c r="N32" s="6" t="s">
        <v>58</v>
      </c>
      <c r="O32" s="74">
        <v>4</v>
      </c>
      <c r="P32" s="22" t="b">
        <f>IF($G$10="klein project",5,IF($G$10="kleinschalig project",10,IF($G$10="middelgroot project",20,IF($G$10="grootschalig project",75))))</f>
        <v>0</v>
      </c>
      <c r="Q32" s="15" t="s">
        <v>59</v>
      </c>
    </row>
    <row r="33" spans="2:19" x14ac:dyDescent="0.35">
      <c r="B33" s="89">
        <f t="shared" si="2"/>
        <v>0</v>
      </c>
      <c r="C33" s="16">
        <f>MIN(B33,O33)</f>
        <v>0</v>
      </c>
      <c r="D33" s="57" t="s">
        <v>13</v>
      </c>
      <c r="E33" s="19" t="s">
        <v>64</v>
      </c>
      <c r="F33" s="19" t="s">
        <v>65</v>
      </c>
      <c r="G33" s="5">
        <v>0</v>
      </c>
      <c r="H33" s="5">
        <v>0</v>
      </c>
      <c r="I33" s="5">
        <v>0</v>
      </c>
      <c r="J33" s="5">
        <v>0</v>
      </c>
      <c r="K33" s="18">
        <v>0</v>
      </c>
      <c r="M33" s="16" t="e">
        <f t="shared" si="1"/>
        <v>#DIV/0!</v>
      </c>
      <c r="N33" s="5" t="s">
        <v>45</v>
      </c>
      <c r="O33" s="5">
        <v>3</v>
      </c>
      <c r="P33" s="21" t="b">
        <f>IF($G$10="klein project",35,IF($G$10="kleinschalig project",75,IF($G$10="middelgroot project",150,IF($G$10="grootschalig project",300))))</f>
        <v>0</v>
      </c>
      <c r="Q33" s="31" t="s">
        <v>55</v>
      </c>
    </row>
    <row r="34" spans="2:19" x14ac:dyDescent="0.35">
      <c r="B34" s="87">
        <f t="shared" si="2"/>
        <v>0</v>
      </c>
      <c r="C34" s="17">
        <f t="shared" si="0"/>
        <v>0</v>
      </c>
      <c r="D34" s="77" t="s">
        <v>13</v>
      </c>
      <c r="E34" s="78" t="s">
        <v>66</v>
      </c>
      <c r="F34" s="64" t="s">
        <v>67</v>
      </c>
      <c r="G34" s="6">
        <f t="shared" ref="G34:G36" si="4">I34+J34</f>
        <v>0</v>
      </c>
      <c r="H34" s="6">
        <v>0</v>
      </c>
      <c r="I34" s="6">
        <v>0</v>
      </c>
      <c r="J34" s="6">
        <v>0</v>
      </c>
      <c r="K34" s="27">
        <v>0</v>
      </c>
      <c r="M34" s="17" t="e">
        <f t="shared" si="1"/>
        <v>#DIV/0!</v>
      </c>
      <c r="N34" s="6" t="s">
        <v>68</v>
      </c>
      <c r="O34" s="6">
        <v>5</v>
      </c>
      <c r="P34" s="22" t="b">
        <f>IF($G$10="klein project",1,IF($G$10="kleinschalig project",1,IF($G$10="middelgroot project",2,IF($G$10="grootschalig project",3))))</f>
        <v>0</v>
      </c>
      <c r="Q34" s="15" t="s">
        <v>69</v>
      </c>
    </row>
    <row r="35" spans="2:19" x14ac:dyDescent="0.35">
      <c r="B35" s="95">
        <f>IF(G34=H34,0,IF(G34&gt;H34,(I34-K34)*-M34,IF(G34&lt;H34,(K34-I34)*M34,0)))+IF(G35="toepassen",1)</f>
        <v>0</v>
      </c>
      <c r="C35" s="96">
        <f>MIN(B35,O34)</f>
        <v>0</v>
      </c>
      <c r="D35" s="97" t="s">
        <v>13</v>
      </c>
      <c r="E35" s="98" t="s">
        <v>70</v>
      </c>
      <c r="F35" s="19" t="s">
        <v>71</v>
      </c>
      <c r="G35" s="130" t="s">
        <v>7</v>
      </c>
      <c r="H35" s="130"/>
      <c r="I35" s="130"/>
      <c r="J35" s="130"/>
      <c r="K35" s="131"/>
      <c r="M35" s="16" t="e">
        <f t="shared" si="1"/>
        <v>#DIV/0!</v>
      </c>
      <c r="N35" s="5" t="s">
        <v>72</v>
      </c>
      <c r="O35" s="5">
        <v>1</v>
      </c>
      <c r="P35" s="21" t="b">
        <f>IF($G$10="klein project",1,IF($G$10="kleinschalig project",1,IF($G$10="middelgroot project",2,IF($G$10="grootschalig project",3))))</f>
        <v>0</v>
      </c>
      <c r="Q35" s="35" t="s">
        <v>73</v>
      </c>
    </row>
    <row r="36" spans="2:19" x14ac:dyDescent="0.35">
      <c r="B36" s="87">
        <f t="shared" si="2"/>
        <v>0</v>
      </c>
      <c r="C36" s="17">
        <f t="shared" ref="C36:C51" si="5">MIN(B36,O36)</f>
        <v>0</v>
      </c>
      <c r="D36" s="58" t="s">
        <v>13</v>
      </c>
      <c r="E36" s="64" t="s">
        <v>74</v>
      </c>
      <c r="F36" s="64" t="s">
        <v>75</v>
      </c>
      <c r="G36" s="6">
        <f t="shared" si="4"/>
        <v>0</v>
      </c>
      <c r="H36" s="6">
        <v>0</v>
      </c>
      <c r="I36" s="6"/>
      <c r="J36" s="6"/>
      <c r="K36" s="27">
        <v>0</v>
      </c>
      <c r="M36" s="17" t="e">
        <f t="shared" si="1"/>
        <v>#DIV/0!</v>
      </c>
      <c r="N36" s="6" t="s">
        <v>76</v>
      </c>
      <c r="O36" s="6">
        <v>4</v>
      </c>
      <c r="P36" s="92" t="b">
        <f>IF($G$10="klein project",5,IF($G$10="kleinschalig project",10,IF($G$10="middelgroot project",20,IF($G$10="grootschalig project",50))))</f>
        <v>0</v>
      </c>
      <c r="Q36" s="91" t="s">
        <v>77</v>
      </c>
    </row>
    <row r="37" spans="2:19" x14ac:dyDescent="0.35">
      <c r="B37" s="89">
        <f t="shared" si="2"/>
        <v>0</v>
      </c>
      <c r="C37" s="16">
        <f t="shared" si="5"/>
        <v>0</v>
      </c>
      <c r="D37" s="57" t="s">
        <v>13</v>
      </c>
      <c r="E37" s="19" t="s">
        <v>78</v>
      </c>
      <c r="F37" s="19" t="s">
        <v>79</v>
      </c>
      <c r="G37" s="5">
        <v>0</v>
      </c>
      <c r="H37" s="5">
        <v>0</v>
      </c>
      <c r="I37" s="5">
        <v>0</v>
      </c>
      <c r="J37" s="5">
        <v>0</v>
      </c>
      <c r="K37" s="18">
        <v>0</v>
      </c>
      <c r="M37" s="16" t="e">
        <f t="shared" si="1"/>
        <v>#DIV/0!</v>
      </c>
      <c r="N37" s="5" t="s">
        <v>80</v>
      </c>
      <c r="O37" s="5">
        <v>1</v>
      </c>
      <c r="P37" s="21" t="b">
        <f>IF($G$10="klein project",5,IF($G$10="kleinschalig project",10,IF($G$10="middelgroot project",20,IF($G$10="grootschalig project",30))))</f>
        <v>0</v>
      </c>
      <c r="Q37" s="30" t="s">
        <v>77</v>
      </c>
    </row>
    <row r="38" spans="2:19" x14ac:dyDescent="0.35">
      <c r="B38" s="87">
        <f>IF(G38="toepassen",1,0)</f>
        <v>0</v>
      </c>
      <c r="C38" s="17">
        <f t="shared" si="5"/>
        <v>0</v>
      </c>
      <c r="D38" s="47" t="s">
        <v>13</v>
      </c>
      <c r="E38" s="6" t="s">
        <v>81</v>
      </c>
      <c r="F38" t="s">
        <v>82</v>
      </c>
      <c r="G38" s="132" t="s">
        <v>7</v>
      </c>
      <c r="H38" s="132"/>
      <c r="I38" s="132"/>
      <c r="J38" s="132"/>
      <c r="K38" s="133"/>
      <c r="M38" s="17">
        <f t="shared" si="1"/>
        <v>1</v>
      </c>
      <c r="N38" s="6" t="s">
        <v>83</v>
      </c>
      <c r="O38" s="6">
        <v>1</v>
      </c>
      <c r="P38" s="22">
        <v>1</v>
      </c>
      <c r="Q38" s="15" t="s">
        <v>69</v>
      </c>
    </row>
    <row r="39" spans="2:19" s="12" customFormat="1" ht="29" x14ac:dyDescent="0.35">
      <c r="B39" s="89">
        <f t="shared" si="2"/>
        <v>0</v>
      </c>
      <c r="C39" s="16">
        <f t="shared" si="5"/>
        <v>0</v>
      </c>
      <c r="D39" s="57" t="s">
        <v>13</v>
      </c>
      <c r="E39" s="19" t="s">
        <v>84</v>
      </c>
      <c r="F39" s="99" t="s">
        <v>85</v>
      </c>
      <c r="G39" s="23">
        <v>0</v>
      </c>
      <c r="H39" s="23">
        <v>0</v>
      </c>
      <c r="I39" s="23">
        <v>0</v>
      </c>
      <c r="J39" s="23">
        <v>0</v>
      </c>
      <c r="K39" s="100">
        <v>0</v>
      </c>
      <c r="M39" s="101" t="e">
        <f t="shared" si="1"/>
        <v>#DIV/0!</v>
      </c>
      <c r="N39" s="23" t="s">
        <v>86</v>
      </c>
      <c r="O39" s="23">
        <v>1</v>
      </c>
      <c r="P39" s="102" t="b">
        <f>IF($G$10="klein project",1,IF($G$10="kleinschalig project",3,IF($G$10="middelgroot project",5,IF($G$10="grootschalig project",10))))</f>
        <v>0</v>
      </c>
      <c r="Q39" s="103" t="s">
        <v>69</v>
      </c>
      <c r="S39"/>
    </row>
    <row r="40" spans="2:19" x14ac:dyDescent="0.35">
      <c r="B40" s="87">
        <f t="shared" si="2"/>
        <v>0</v>
      </c>
      <c r="C40" s="17">
        <f t="shared" si="5"/>
        <v>0</v>
      </c>
      <c r="D40" s="58" t="s">
        <v>13</v>
      </c>
      <c r="E40" s="64" t="s">
        <v>87</v>
      </c>
      <c r="F40" s="64" t="s">
        <v>88</v>
      </c>
      <c r="G40" s="6">
        <v>0</v>
      </c>
      <c r="H40" s="6">
        <v>0</v>
      </c>
      <c r="I40" s="6">
        <v>0</v>
      </c>
      <c r="J40" s="6">
        <v>0</v>
      </c>
      <c r="K40" s="27">
        <v>0</v>
      </c>
      <c r="M40" s="17" t="e">
        <f t="shared" si="1"/>
        <v>#DIV/0!</v>
      </c>
      <c r="N40" s="6" t="s">
        <v>89</v>
      </c>
      <c r="O40" s="6">
        <v>1</v>
      </c>
      <c r="P40" s="22" t="b">
        <f>IF($G$10="klein project",1,IF($G$10="kleinschalig project",1,IF($G$10="middelgroot project",2,IF($G$10="grootschalig project",3))))</f>
        <v>0</v>
      </c>
      <c r="Q40" s="15" t="s">
        <v>69</v>
      </c>
    </row>
    <row r="41" spans="2:19" x14ac:dyDescent="0.35">
      <c r="B41" s="89">
        <f t="shared" si="2"/>
        <v>0</v>
      </c>
      <c r="C41" s="16">
        <f t="shared" si="5"/>
        <v>0</v>
      </c>
      <c r="D41" s="57" t="s">
        <v>13</v>
      </c>
      <c r="E41" s="19" t="s">
        <v>90</v>
      </c>
      <c r="F41" s="19" t="s">
        <v>91</v>
      </c>
      <c r="G41" s="5">
        <v>0</v>
      </c>
      <c r="H41" s="5">
        <v>0</v>
      </c>
      <c r="I41" s="5">
        <v>0</v>
      </c>
      <c r="J41" s="5">
        <v>0</v>
      </c>
      <c r="K41" s="18">
        <v>0</v>
      </c>
      <c r="M41" s="16" t="e">
        <f t="shared" si="1"/>
        <v>#DIV/0!</v>
      </c>
      <c r="N41" s="5" t="s">
        <v>92</v>
      </c>
      <c r="O41" s="5">
        <v>1</v>
      </c>
      <c r="P41" s="21" t="b">
        <f>IF($G$10="klein project",1,IF($G$10="kleinschalig project",1,IF($G$10="middelgroot project",2,IF($G$10="grootschalig project",3))))</f>
        <v>0</v>
      </c>
      <c r="Q41" s="103" t="s">
        <v>69</v>
      </c>
    </row>
    <row r="42" spans="2:19" x14ac:dyDescent="0.35">
      <c r="B42" s="87">
        <f t="shared" si="2"/>
        <v>0</v>
      </c>
      <c r="C42" s="17">
        <f t="shared" si="5"/>
        <v>0</v>
      </c>
      <c r="D42" s="58" t="s">
        <v>13</v>
      </c>
      <c r="E42" s="64" t="s">
        <v>93</v>
      </c>
      <c r="F42" s="64" t="s">
        <v>94</v>
      </c>
      <c r="G42" s="6">
        <v>0</v>
      </c>
      <c r="H42" s="6">
        <v>0</v>
      </c>
      <c r="I42" s="6">
        <v>0</v>
      </c>
      <c r="J42" s="6">
        <v>0</v>
      </c>
      <c r="K42" s="27">
        <v>0</v>
      </c>
      <c r="M42" s="34" t="e">
        <f t="shared" si="1"/>
        <v>#VALUE!</v>
      </c>
      <c r="N42" s="6" t="s">
        <v>45</v>
      </c>
      <c r="O42" s="6">
        <v>4</v>
      </c>
      <c r="P42" s="22" t="e">
        <f>0.25*($G$7-$G$8)</f>
        <v>#VALUE!</v>
      </c>
      <c r="Q42" s="15" t="s">
        <v>95</v>
      </c>
    </row>
    <row r="43" spans="2:19" x14ac:dyDescent="0.35">
      <c r="B43" s="89">
        <f t="shared" si="2"/>
        <v>0</v>
      </c>
      <c r="C43" s="16">
        <f t="shared" si="5"/>
        <v>0</v>
      </c>
      <c r="D43" s="57" t="s">
        <v>13</v>
      </c>
      <c r="E43" s="19" t="s">
        <v>96</v>
      </c>
      <c r="F43" s="19" t="s">
        <v>97</v>
      </c>
      <c r="G43" s="5">
        <v>0</v>
      </c>
      <c r="H43" s="5">
        <v>0</v>
      </c>
      <c r="I43" s="5">
        <v>0</v>
      </c>
      <c r="J43" s="5">
        <v>0</v>
      </c>
      <c r="K43" s="18">
        <v>0</v>
      </c>
      <c r="M43" s="16" t="e">
        <f t="shared" si="1"/>
        <v>#DIV/0!</v>
      </c>
      <c r="N43" s="5" t="s">
        <v>98</v>
      </c>
      <c r="O43" s="5">
        <v>4</v>
      </c>
      <c r="P43" s="28" t="b">
        <f>IF($G$10="klein project",10,IF($G$10="kleinschalig project",20,IF($G$10="middelgroot project",50,IF($G$10="grootschalig project",75))))</f>
        <v>0</v>
      </c>
      <c r="Q43" s="31" t="s">
        <v>99</v>
      </c>
    </row>
    <row r="44" spans="2:19" x14ac:dyDescent="0.35">
      <c r="B44" s="87">
        <f t="shared" si="2"/>
        <v>0</v>
      </c>
      <c r="C44" s="17">
        <f t="shared" si="5"/>
        <v>0</v>
      </c>
      <c r="D44" s="58" t="s">
        <v>13</v>
      </c>
      <c r="E44" s="64" t="s">
        <v>100</v>
      </c>
      <c r="F44" s="64" t="s">
        <v>101</v>
      </c>
      <c r="G44" s="6">
        <v>0</v>
      </c>
      <c r="H44" s="6">
        <v>0</v>
      </c>
      <c r="I44" s="6">
        <v>0</v>
      </c>
      <c r="J44" s="6">
        <v>0</v>
      </c>
      <c r="K44" s="27">
        <v>0</v>
      </c>
      <c r="M44" s="17" t="e">
        <f>IF(P44="nvt",0,O44/P44)</f>
        <v>#DIV/0!</v>
      </c>
      <c r="N44" s="6" t="s">
        <v>45</v>
      </c>
      <c r="O44" s="6">
        <v>5</v>
      </c>
      <c r="P44" s="93" t="b">
        <f>IF($G$10="klein project","nvt",IF($G$10="kleinschalig project","nvt",IF($G$10="middelgroot project",200,IF($G$10="grootschalig project",400))))</f>
        <v>0</v>
      </c>
      <c r="Q44" s="94" t="b">
        <f>IF($G$10="kleinschalig project","klein project",IF($G$10="middelgroot project","m",IF($G$10="grootschalig project","m")))</f>
        <v>0</v>
      </c>
    </row>
    <row r="45" spans="2:19" x14ac:dyDescent="0.35">
      <c r="B45" s="89">
        <f t="shared" si="2"/>
        <v>0</v>
      </c>
      <c r="C45" s="16">
        <f t="shared" si="5"/>
        <v>0</v>
      </c>
      <c r="D45" s="57" t="s">
        <v>13</v>
      </c>
      <c r="E45" s="19" t="s">
        <v>102</v>
      </c>
      <c r="F45" s="19" t="s">
        <v>103</v>
      </c>
      <c r="G45" s="5">
        <v>0</v>
      </c>
      <c r="H45" s="5">
        <v>0</v>
      </c>
      <c r="I45" s="5">
        <v>0</v>
      </c>
      <c r="J45" s="5">
        <v>0</v>
      </c>
      <c r="K45" s="18">
        <v>0</v>
      </c>
      <c r="M45" s="16" t="e">
        <f t="shared" si="1"/>
        <v>#DIV/0!</v>
      </c>
      <c r="N45" s="5" t="s">
        <v>98</v>
      </c>
      <c r="O45" s="5">
        <v>2</v>
      </c>
      <c r="P45" s="28" t="b">
        <f>IF($G$10="klein project",10,IF($G$10="kleinschalig project",20,IF($G$10="middelgroot project",30,IF($G$10="grootschalig project",40))))</f>
        <v>0</v>
      </c>
      <c r="Q45" s="104" t="s">
        <v>77</v>
      </c>
    </row>
    <row r="46" spans="2:19" x14ac:dyDescent="0.35">
      <c r="B46" s="87">
        <f t="shared" si="2"/>
        <v>0</v>
      </c>
      <c r="C46" s="17">
        <f t="shared" si="5"/>
        <v>0</v>
      </c>
      <c r="D46" s="58" t="s">
        <v>13</v>
      </c>
      <c r="E46" s="64" t="s">
        <v>104</v>
      </c>
      <c r="F46" s="64" t="s">
        <v>105</v>
      </c>
      <c r="G46" s="6">
        <v>0</v>
      </c>
      <c r="H46" s="6">
        <v>0</v>
      </c>
      <c r="I46" s="6">
        <v>0</v>
      </c>
      <c r="J46" s="6">
        <v>0</v>
      </c>
      <c r="K46" s="27">
        <v>0</v>
      </c>
      <c r="M46" s="17" t="e">
        <f t="shared" si="1"/>
        <v>#DIV/0!</v>
      </c>
      <c r="N46" s="6" t="s">
        <v>98</v>
      </c>
      <c r="O46" s="6">
        <v>4</v>
      </c>
      <c r="P46" s="22" t="b">
        <f>IF($G$10="klein project",10,IF($G$10="kleinschalig project",25,IF($G$10="middelgroot project",50,IF($G$10="grootschalig project",75))))</f>
        <v>0</v>
      </c>
      <c r="Q46" s="32" t="s">
        <v>77</v>
      </c>
    </row>
    <row r="47" spans="2:19" x14ac:dyDescent="0.35">
      <c r="B47" s="89">
        <f>IF(G47="toepassen",2,0)</f>
        <v>0</v>
      </c>
      <c r="C47" s="16">
        <f t="shared" si="5"/>
        <v>0</v>
      </c>
      <c r="D47" s="57" t="s">
        <v>13</v>
      </c>
      <c r="E47" s="19" t="s">
        <v>106</v>
      </c>
      <c r="F47" s="19" t="s">
        <v>107</v>
      </c>
      <c r="G47" s="130" t="s">
        <v>7</v>
      </c>
      <c r="H47" s="130"/>
      <c r="I47" s="130"/>
      <c r="J47" s="130"/>
      <c r="K47" s="131"/>
      <c r="M47" s="16" t="e">
        <f t="shared" si="1"/>
        <v>#DIV/0!</v>
      </c>
      <c r="N47" s="5" t="s">
        <v>83</v>
      </c>
      <c r="O47" s="5">
        <v>2</v>
      </c>
      <c r="P47" s="21" t="b">
        <f>IF($G$10="klein project",1,IF($G$10="kleinschalig project",1,IF($G$10="middelgroot project",1,IF($G$10="grootschalig project",1))))</f>
        <v>0</v>
      </c>
      <c r="Q47" s="30" t="s">
        <v>69</v>
      </c>
    </row>
    <row r="48" spans="2:19" x14ac:dyDescent="0.35">
      <c r="B48" s="87">
        <f>IF(G48="toepassen",3,0)</f>
        <v>0</v>
      </c>
      <c r="C48" s="17">
        <f t="shared" si="5"/>
        <v>0</v>
      </c>
      <c r="D48" s="58" t="s">
        <v>13</v>
      </c>
      <c r="E48" s="64" t="s">
        <v>108</v>
      </c>
      <c r="F48" s="64" t="s">
        <v>109</v>
      </c>
      <c r="G48" s="132" t="s">
        <v>7</v>
      </c>
      <c r="H48" s="132"/>
      <c r="I48" s="132"/>
      <c r="J48" s="132"/>
      <c r="K48" s="133"/>
      <c r="M48" s="17" t="e">
        <f t="shared" si="1"/>
        <v>#DIV/0!</v>
      </c>
      <c r="N48" s="6" t="s">
        <v>83</v>
      </c>
      <c r="O48" s="6">
        <v>3</v>
      </c>
      <c r="P48" s="22" t="b">
        <f>IF($G$10="klein project",1,IF($G$10="kleinschalig project",1,IF($G$10="middelgroot project",1,IF($G$10="grootschalig project",1))))</f>
        <v>0</v>
      </c>
      <c r="Q48" s="15" t="s">
        <v>69</v>
      </c>
    </row>
    <row r="49" spans="1:19" x14ac:dyDescent="0.35">
      <c r="B49" s="89">
        <f>IF(G49="toepassen",1,0)</f>
        <v>0</v>
      </c>
      <c r="C49" s="16">
        <f t="shared" si="5"/>
        <v>0</v>
      </c>
      <c r="D49" s="57" t="s">
        <v>13</v>
      </c>
      <c r="E49" s="19" t="s">
        <v>110</v>
      </c>
      <c r="F49" s="19" t="s">
        <v>111</v>
      </c>
      <c r="G49" s="130" t="s">
        <v>7</v>
      </c>
      <c r="H49" s="130"/>
      <c r="I49" s="130"/>
      <c r="J49" s="130"/>
      <c r="K49" s="131"/>
      <c r="M49" s="16">
        <f t="shared" si="1"/>
        <v>1</v>
      </c>
      <c r="N49" s="5" t="s">
        <v>83</v>
      </c>
      <c r="O49" s="5">
        <v>1</v>
      </c>
      <c r="P49" s="21">
        <v>1</v>
      </c>
      <c r="Q49" s="30" t="s">
        <v>69</v>
      </c>
    </row>
    <row r="50" spans="1:19" x14ac:dyDescent="0.35">
      <c r="B50" s="87">
        <f>IF(G50="toepassen",1,0)</f>
        <v>0</v>
      </c>
      <c r="C50" s="17">
        <f t="shared" si="5"/>
        <v>0</v>
      </c>
      <c r="D50" s="58" t="s">
        <v>13</v>
      </c>
      <c r="E50" s="64" t="s">
        <v>112</v>
      </c>
      <c r="F50" s="64" t="s">
        <v>113</v>
      </c>
      <c r="G50" s="132" t="s">
        <v>7</v>
      </c>
      <c r="H50" s="132"/>
      <c r="I50" s="132"/>
      <c r="J50" s="132"/>
      <c r="K50" s="133"/>
      <c r="M50" s="17">
        <f t="shared" si="1"/>
        <v>1</v>
      </c>
      <c r="N50" s="6" t="s">
        <v>83</v>
      </c>
      <c r="O50" s="6">
        <v>1</v>
      </c>
      <c r="P50" s="22">
        <v>1</v>
      </c>
      <c r="Q50" s="15" t="s">
        <v>69</v>
      </c>
    </row>
    <row r="51" spans="1:19" ht="21" x14ac:dyDescent="0.5">
      <c r="A51" s="2"/>
      <c r="B51" s="89">
        <f t="shared" ref="B51" si="6">IF(G51="toepassen",1,0)</f>
        <v>0</v>
      </c>
      <c r="C51" s="16">
        <f t="shared" si="5"/>
        <v>0</v>
      </c>
      <c r="D51" s="57" t="s">
        <v>13</v>
      </c>
      <c r="E51" s="19" t="s">
        <v>114</v>
      </c>
      <c r="F51" s="19" t="s">
        <v>115</v>
      </c>
      <c r="G51" s="130" t="s">
        <v>7</v>
      </c>
      <c r="H51" s="130"/>
      <c r="I51" s="130"/>
      <c r="J51" s="130"/>
      <c r="K51" s="131"/>
      <c r="M51" s="16">
        <f t="shared" si="1"/>
        <v>1</v>
      </c>
      <c r="N51" s="5" t="s">
        <v>83</v>
      </c>
      <c r="O51" s="5">
        <v>1</v>
      </c>
      <c r="P51" s="20">
        <v>1</v>
      </c>
      <c r="Q51" s="30" t="s">
        <v>69</v>
      </c>
    </row>
    <row r="52" spans="1:19" ht="21.5" thickBot="1" x14ac:dyDescent="0.55000000000000004">
      <c r="A52" s="2"/>
      <c r="B52" s="88">
        <f>SUM(B28:B51)</f>
        <v>0</v>
      </c>
      <c r="C52" s="39">
        <f>SUM(C28:C51)</f>
        <v>0</v>
      </c>
      <c r="D52" s="67"/>
      <c r="E52" s="67"/>
      <c r="F52" s="24" t="s">
        <v>116</v>
      </c>
      <c r="G52" s="65" t="e">
        <f>MIN(O52,R52)</f>
        <v>#VALUE!</v>
      </c>
      <c r="H52" s="65" t="s">
        <v>48</v>
      </c>
      <c r="I52" s="66"/>
      <c r="J52" s="3"/>
      <c r="K52" s="4"/>
      <c r="M52" s="10"/>
      <c r="N52" s="11"/>
      <c r="O52" s="11">
        <v>20</v>
      </c>
      <c r="P52" s="163" t="s">
        <v>117</v>
      </c>
      <c r="Q52" s="164"/>
      <c r="R52" s="11" t="e">
        <f>(0.145*LN(G7)-0.734)*O52</f>
        <v>#VALUE!</v>
      </c>
    </row>
    <row r="53" spans="1:19" ht="15" thickBot="1" x14ac:dyDescent="0.4"/>
    <row r="54" spans="1:19" ht="43.5" x14ac:dyDescent="0.35">
      <c r="B54" s="49" t="s">
        <v>19</v>
      </c>
      <c r="C54" s="9" t="s">
        <v>19</v>
      </c>
      <c r="D54" s="7" t="s">
        <v>20</v>
      </c>
      <c r="E54" s="7" t="s">
        <v>21</v>
      </c>
      <c r="F54" s="7" t="s">
        <v>22</v>
      </c>
      <c r="G54" s="7" t="s">
        <v>23</v>
      </c>
      <c r="H54" s="7" t="s">
        <v>24</v>
      </c>
      <c r="I54" s="7" t="s">
        <v>25</v>
      </c>
      <c r="J54" s="7" t="s">
        <v>26</v>
      </c>
      <c r="K54" s="8" t="s">
        <v>27</v>
      </c>
      <c r="M54" s="156" t="s">
        <v>28</v>
      </c>
      <c r="N54" s="157"/>
      <c r="O54" s="29" t="s">
        <v>29</v>
      </c>
      <c r="P54" s="161" t="s">
        <v>30</v>
      </c>
      <c r="Q54" s="162"/>
      <c r="R54" s="90" t="s">
        <v>166</v>
      </c>
    </row>
    <row r="55" spans="1:19" x14ac:dyDescent="0.35">
      <c r="B55" s="87">
        <f t="shared" ref="B55:B64" si="7">IF(G55=H55,0,IF(G55&gt;H55,(I55-K55)*-M55,IF(G55&lt;H55,(K55-I55)*M55,0)))</f>
        <v>0</v>
      </c>
      <c r="C55" s="17">
        <f t="shared" ref="C55:C65" si="8">MIN(B55,O55)</f>
        <v>0</v>
      </c>
      <c r="D55" s="50" t="s">
        <v>14</v>
      </c>
      <c r="E55" s="6" t="s">
        <v>118</v>
      </c>
      <c r="F55" s="6" t="s">
        <v>119</v>
      </c>
      <c r="G55" s="6">
        <f t="shared" ref="G55:G56" si="9">I55+J55</f>
        <v>0</v>
      </c>
      <c r="H55" s="6">
        <v>0</v>
      </c>
      <c r="I55" s="6">
        <v>0</v>
      </c>
      <c r="J55" s="6">
        <v>0</v>
      </c>
      <c r="K55" s="27">
        <v>0</v>
      </c>
      <c r="M55" s="17" t="e">
        <f>O55/P55</f>
        <v>#DIV/0!</v>
      </c>
      <c r="N55" s="6" t="s">
        <v>120</v>
      </c>
      <c r="O55" s="6">
        <v>3</v>
      </c>
      <c r="P55" s="14" t="b">
        <f>IF($G$10="klein project",10,IF($G$10="kleinschalig project",20,IF($G$10="middelgroot project",30,IF($G$10="grootschalig project",50))))</f>
        <v>0</v>
      </c>
      <c r="Q55" s="32" t="s">
        <v>121</v>
      </c>
    </row>
    <row r="56" spans="1:19" x14ac:dyDescent="0.35">
      <c r="B56" s="89">
        <f t="shared" si="7"/>
        <v>0</v>
      </c>
      <c r="C56" s="16">
        <f t="shared" si="8"/>
        <v>0</v>
      </c>
      <c r="D56" s="59" t="s">
        <v>14</v>
      </c>
      <c r="E56" s="5" t="s">
        <v>122</v>
      </c>
      <c r="F56" s="5" t="s">
        <v>123</v>
      </c>
      <c r="G56" s="5">
        <f t="shared" si="9"/>
        <v>0</v>
      </c>
      <c r="H56" s="5">
        <v>0</v>
      </c>
      <c r="I56" s="5">
        <v>0</v>
      </c>
      <c r="J56" s="5">
        <v>0</v>
      </c>
      <c r="K56" s="18">
        <v>0</v>
      </c>
      <c r="M56" s="16" t="e">
        <f>O56/P56</f>
        <v>#DIV/0!</v>
      </c>
      <c r="N56" s="5" t="s">
        <v>98</v>
      </c>
      <c r="O56" s="5">
        <v>4</v>
      </c>
      <c r="P56" s="20" t="b">
        <f>IF($G$10="klein project",10,IF($G$10="kleinschalig project",20,IF($G$10="middelgroot project",30,IF($G$10="grootschalig project",50))))</f>
        <v>0</v>
      </c>
      <c r="Q56" s="36" t="s">
        <v>121</v>
      </c>
    </row>
    <row r="57" spans="1:19" s="70" customFormat="1" ht="29" x14ac:dyDescent="0.35">
      <c r="B57" s="87">
        <f>IF(G57="&lt; invullen &gt;",0,IF(G57="lichtuitstraling vermijden",2,IF(G57="lichtuitstraling vermijden conform ecologisch lichtplan",3)))</f>
        <v>0</v>
      </c>
      <c r="C57" s="17">
        <f t="shared" si="8"/>
        <v>0</v>
      </c>
      <c r="D57" s="50" t="s">
        <v>14</v>
      </c>
      <c r="E57" s="6" t="s">
        <v>124</v>
      </c>
      <c r="F57" s="71" t="s">
        <v>125</v>
      </c>
      <c r="G57" s="165" t="s">
        <v>7</v>
      </c>
      <c r="H57" s="165"/>
      <c r="I57" s="165"/>
      <c r="J57" s="165"/>
      <c r="K57" s="166"/>
      <c r="M57" s="72">
        <v>3</v>
      </c>
      <c r="N57" s="73" t="s">
        <v>126</v>
      </c>
      <c r="O57" s="74">
        <v>3</v>
      </c>
      <c r="P57" s="75" t="s">
        <v>127</v>
      </c>
      <c r="Q57" s="76" t="s">
        <v>128</v>
      </c>
      <c r="S57"/>
    </row>
    <row r="58" spans="1:19" x14ac:dyDescent="0.35">
      <c r="B58" s="89">
        <f t="shared" si="7"/>
        <v>0</v>
      </c>
      <c r="C58" s="16">
        <f t="shared" si="8"/>
        <v>0</v>
      </c>
      <c r="D58" s="59" t="s">
        <v>14</v>
      </c>
      <c r="E58" s="5" t="s">
        <v>129</v>
      </c>
      <c r="F58" s="26" t="s">
        <v>130</v>
      </c>
      <c r="G58" s="5">
        <f t="shared" ref="G58:H64" si="10">I58+J58</f>
        <v>0</v>
      </c>
      <c r="H58" s="5">
        <v>0</v>
      </c>
      <c r="I58" s="5">
        <v>0</v>
      </c>
      <c r="J58" s="5">
        <v>0</v>
      </c>
      <c r="K58" s="18">
        <v>0</v>
      </c>
      <c r="M58" s="68" t="e">
        <f>O58/P58</f>
        <v>#VALUE!</v>
      </c>
      <c r="N58" s="5" t="s">
        <v>131</v>
      </c>
      <c r="O58" s="5">
        <v>4</v>
      </c>
      <c r="P58" s="20" t="e">
        <f t="shared" ref="P58:P64" si="11">0.5*($G$8)</f>
        <v>#VALUE!</v>
      </c>
      <c r="Q58" s="36" t="s">
        <v>132</v>
      </c>
    </row>
    <row r="59" spans="1:19" x14ac:dyDescent="0.35">
      <c r="B59" s="87">
        <f t="shared" si="7"/>
        <v>0</v>
      </c>
      <c r="C59" s="17">
        <f t="shared" si="8"/>
        <v>0</v>
      </c>
      <c r="D59" s="50" t="s">
        <v>14</v>
      </c>
      <c r="E59" s="6" t="s">
        <v>133</v>
      </c>
      <c r="F59" s="25" t="s">
        <v>134</v>
      </c>
      <c r="G59" s="6">
        <f t="shared" si="10"/>
        <v>0</v>
      </c>
      <c r="H59" s="6">
        <v>0</v>
      </c>
      <c r="I59" s="6">
        <v>0</v>
      </c>
      <c r="J59" s="6">
        <v>0</v>
      </c>
      <c r="K59" s="27">
        <v>0</v>
      </c>
      <c r="M59" s="17" t="e">
        <f t="shared" ref="M59:M64" si="12">O59/P59</f>
        <v>#VALUE!</v>
      </c>
      <c r="N59" s="6" t="s">
        <v>131</v>
      </c>
      <c r="O59" s="6">
        <v>3</v>
      </c>
      <c r="P59" s="14" t="e">
        <f t="shared" si="11"/>
        <v>#VALUE!</v>
      </c>
      <c r="Q59" s="32" t="s">
        <v>132</v>
      </c>
    </row>
    <row r="60" spans="1:19" x14ac:dyDescent="0.35">
      <c r="B60" s="89">
        <f t="shared" si="7"/>
        <v>0</v>
      </c>
      <c r="C60" s="16">
        <f t="shared" si="8"/>
        <v>0</v>
      </c>
      <c r="D60" s="59" t="s">
        <v>14</v>
      </c>
      <c r="E60" s="5" t="s">
        <v>135</v>
      </c>
      <c r="F60" s="26" t="s">
        <v>136</v>
      </c>
      <c r="G60" s="5">
        <f t="shared" si="10"/>
        <v>0</v>
      </c>
      <c r="H60" s="5">
        <f t="shared" si="10"/>
        <v>0</v>
      </c>
      <c r="I60" s="5">
        <v>0</v>
      </c>
      <c r="J60" s="5">
        <v>0</v>
      </c>
      <c r="K60" s="18">
        <v>0</v>
      </c>
      <c r="M60" s="68" t="e">
        <f t="shared" si="12"/>
        <v>#VALUE!</v>
      </c>
      <c r="N60" s="5" t="s">
        <v>131</v>
      </c>
      <c r="O60" s="5">
        <v>7</v>
      </c>
      <c r="P60" s="20" t="e">
        <f t="shared" si="11"/>
        <v>#VALUE!</v>
      </c>
      <c r="Q60" s="36" t="s">
        <v>132</v>
      </c>
    </row>
    <row r="61" spans="1:19" x14ac:dyDescent="0.35">
      <c r="B61" s="87">
        <f t="shared" si="7"/>
        <v>0</v>
      </c>
      <c r="C61" s="17">
        <f t="shared" si="8"/>
        <v>0</v>
      </c>
      <c r="D61" s="50" t="s">
        <v>14</v>
      </c>
      <c r="E61" s="6" t="s">
        <v>137</v>
      </c>
      <c r="F61" s="25" t="s">
        <v>138</v>
      </c>
      <c r="G61" s="6">
        <f t="shared" si="10"/>
        <v>0</v>
      </c>
      <c r="H61" s="6">
        <v>0</v>
      </c>
      <c r="I61" s="6">
        <v>0</v>
      </c>
      <c r="J61" s="6">
        <v>0</v>
      </c>
      <c r="K61" s="27">
        <v>0</v>
      </c>
      <c r="M61" s="17" t="e">
        <f t="shared" si="12"/>
        <v>#VALUE!</v>
      </c>
      <c r="N61" s="6" t="s">
        <v>131</v>
      </c>
      <c r="O61" s="6">
        <v>6</v>
      </c>
      <c r="P61" s="14" t="e">
        <f t="shared" si="11"/>
        <v>#VALUE!</v>
      </c>
      <c r="Q61" s="32" t="s">
        <v>132</v>
      </c>
    </row>
    <row r="62" spans="1:19" x14ac:dyDescent="0.35">
      <c r="B62" s="89">
        <f t="shared" si="7"/>
        <v>0</v>
      </c>
      <c r="C62" s="16">
        <f t="shared" si="8"/>
        <v>0</v>
      </c>
      <c r="D62" s="59" t="s">
        <v>14</v>
      </c>
      <c r="E62" s="5" t="s">
        <v>139</v>
      </c>
      <c r="F62" s="26" t="s">
        <v>140</v>
      </c>
      <c r="G62" s="5">
        <f t="shared" si="10"/>
        <v>0</v>
      </c>
      <c r="H62" s="5">
        <v>0</v>
      </c>
      <c r="I62" s="5">
        <v>0</v>
      </c>
      <c r="J62" s="5">
        <v>0</v>
      </c>
      <c r="K62" s="18">
        <v>0</v>
      </c>
      <c r="M62" s="16" t="e">
        <f t="shared" si="12"/>
        <v>#VALUE!</v>
      </c>
      <c r="N62" s="5" t="s">
        <v>131</v>
      </c>
      <c r="O62" s="5">
        <v>6</v>
      </c>
      <c r="P62" s="20" t="e">
        <f t="shared" si="11"/>
        <v>#VALUE!</v>
      </c>
      <c r="Q62" s="36" t="s">
        <v>132</v>
      </c>
    </row>
    <row r="63" spans="1:19" x14ac:dyDescent="0.35">
      <c r="B63" s="87">
        <f t="shared" si="7"/>
        <v>0</v>
      </c>
      <c r="C63" s="17">
        <f t="shared" si="8"/>
        <v>0</v>
      </c>
      <c r="D63" s="50" t="s">
        <v>14</v>
      </c>
      <c r="E63" s="6" t="s">
        <v>141</v>
      </c>
      <c r="F63" s="25" t="s">
        <v>142</v>
      </c>
      <c r="G63" s="6">
        <f t="shared" si="10"/>
        <v>0</v>
      </c>
      <c r="H63" s="6">
        <f t="shared" si="10"/>
        <v>0</v>
      </c>
      <c r="I63" s="6">
        <v>0</v>
      </c>
      <c r="J63" s="6">
        <v>0</v>
      </c>
      <c r="K63" s="27">
        <v>0</v>
      </c>
      <c r="M63" s="17" t="e">
        <f t="shared" si="12"/>
        <v>#VALUE!</v>
      </c>
      <c r="N63" s="6" t="s">
        <v>131</v>
      </c>
      <c r="O63" s="6">
        <v>3</v>
      </c>
      <c r="P63" s="14" t="e">
        <f t="shared" si="11"/>
        <v>#VALUE!</v>
      </c>
      <c r="Q63" s="32" t="s">
        <v>132</v>
      </c>
    </row>
    <row r="64" spans="1:19" x14ac:dyDescent="0.35">
      <c r="B64" s="89">
        <f t="shared" si="7"/>
        <v>0</v>
      </c>
      <c r="C64" s="16">
        <f t="shared" si="8"/>
        <v>0</v>
      </c>
      <c r="D64" s="59" t="s">
        <v>14</v>
      </c>
      <c r="E64" s="5" t="s">
        <v>143</v>
      </c>
      <c r="F64" s="26" t="s">
        <v>144</v>
      </c>
      <c r="G64" s="5">
        <f t="shared" si="10"/>
        <v>0</v>
      </c>
      <c r="H64" s="5">
        <f t="shared" si="10"/>
        <v>0</v>
      </c>
      <c r="I64" s="5">
        <v>0</v>
      </c>
      <c r="J64" s="5">
        <v>0</v>
      </c>
      <c r="K64" s="18">
        <v>0</v>
      </c>
      <c r="M64" s="16" t="e">
        <f t="shared" si="12"/>
        <v>#VALUE!</v>
      </c>
      <c r="N64" s="5" t="s">
        <v>131</v>
      </c>
      <c r="O64" s="5">
        <v>6</v>
      </c>
      <c r="P64" s="20" t="e">
        <f t="shared" si="11"/>
        <v>#VALUE!</v>
      </c>
      <c r="Q64" s="36" t="s">
        <v>132</v>
      </c>
    </row>
    <row r="65" spans="2:18" x14ac:dyDescent="0.35">
      <c r="B65" s="87">
        <f>IF(G65="toepassen",2,0)</f>
        <v>0</v>
      </c>
      <c r="C65" s="17">
        <f t="shared" si="8"/>
        <v>0</v>
      </c>
      <c r="D65" s="50" t="s">
        <v>14</v>
      </c>
      <c r="E65" s="6" t="s">
        <v>145</v>
      </c>
      <c r="F65" s="25" t="s">
        <v>146</v>
      </c>
      <c r="G65" s="132" t="s">
        <v>7</v>
      </c>
      <c r="H65" s="132"/>
      <c r="I65" s="132"/>
      <c r="J65" s="132"/>
      <c r="K65" s="133"/>
      <c r="M65" s="17">
        <v>2</v>
      </c>
      <c r="N65" s="6" t="s">
        <v>147</v>
      </c>
      <c r="O65" s="6">
        <v>2</v>
      </c>
      <c r="P65" s="14">
        <v>1</v>
      </c>
      <c r="Q65" s="32" t="s">
        <v>69</v>
      </c>
    </row>
    <row r="66" spans="2:18" ht="21.5" thickBot="1" x14ac:dyDescent="0.55000000000000004">
      <c r="B66" s="88">
        <f>SUM(B55:B65)</f>
        <v>0</v>
      </c>
      <c r="C66" s="39">
        <f>SUM(C55:C65)</f>
        <v>0</v>
      </c>
      <c r="D66" s="67"/>
      <c r="E66" s="67"/>
      <c r="F66" s="24" t="s">
        <v>148</v>
      </c>
      <c r="G66" s="65" t="e">
        <f>MIN(O66,R66)</f>
        <v>#VALUE!</v>
      </c>
      <c r="H66" s="65" t="s">
        <v>48</v>
      </c>
      <c r="I66" s="65"/>
      <c r="J66" s="3"/>
      <c r="K66" s="4"/>
      <c r="M66" s="10"/>
      <c r="N66" s="11"/>
      <c r="O66" s="11">
        <f>SUM(O55:O57,O60,O65)</f>
        <v>19</v>
      </c>
      <c r="P66" s="163" t="s">
        <v>149</v>
      </c>
      <c r="Q66" s="164"/>
      <c r="R66" s="11" t="e">
        <f>(0.145*LN(G8)-0.734)*O66</f>
        <v>#VALUE!</v>
      </c>
    </row>
    <row r="67" spans="2:18" ht="15" thickBot="1" x14ac:dyDescent="0.4"/>
    <row r="68" spans="2:18" ht="43.5" x14ac:dyDescent="0.35">
      <c r="B68" s="49" t="s">
        <v>19</v>
      </c>
      <c r="C68" s="9" t="s">
        <v>19</v>
      </c>
      <c r="D68" s="7" t="s">
        <v>20</v>
      </c>
      <c r="E68" s="7" t="s">
        <v>21</v>
      </c>
      <c r="F68" s="7" t="s">
        <v>22</v>
      </c>
      <c r="G68" s="7" t="s">
        <v>23</v>
      </c>
      <c r="H68" s="7" t="s">
        <v>24</v>
      </c>
      <c r="I68" s="7" t="s">
        <v>25</v>
      </c>
      <c r="J68" s="7" t="s">
        <v>26</v>
      </c>
      <c r="K68" s="8" t="s">
        <v>27</v>
      </c>
      <c r="M68" s="156" t="s">
        <v>28</v>
      </c>
      <c r="N68" s="157"/>
      <c r="O68" s="29" t="s">
        <v>29</v>
      </c>
      <c r="P68" s="161" t="s">
        <v>30</v>
      </c>
      <c r="Q68" s="162"/>
      <c r="R68" s="90" t="s">
        <v>166</v>
      </c>
    </row>
    <row r="69" spans="2:18" x14ac:dyDescent="0.35">
      <c r="B69" s="87">
        <f>IF(G69=H69,0,IF(G69&gt;H69,(I69-K69)*-M69,IF(G69&lt;H69,(K69-I69)*M69,0)))</f>
        <v>0</v>
      </c>
      <c r="C69" s="16">
        <f>MIN(B69,O69)</f>
        <v>0</v>
      </c>
      <c r="D69" s="59" t="s">
        <v>150</v>
      </c>
      <c r="E69" s="5" t="s">
        <v>151</v>
      </c>
      <c r="F69" s="5" t="s">
        <v>152</v>
      </c>
      <c r="G69" s="5">
        <v>0</v>
      </c>
      <c r="H69" s="5">
        <v>0</v>
      </c>
      <c r="I69" s="5">
        <v>0</v>
      </c>
      <c r="J69" s="5">
        <v>0</v>
      </c>
      <c r="K69" s="18">
        <v>0</v>
      </c>
      <c r="M69" s="37" t="e">
        <f>O69/P69</f>
        <v>#DIV/0!</v>
      </c>
      <c r="N69" s="5" t="s">
        <v>153</v>
      </c>
      <c r="O69" s="5">
        <v>4</v>
      </c>
      <c r="P69" s="20" t="b">
        <f>IF($G$10="klein project",11,IF($G$10="kleinschalig project",11,IF($G$10="middelgroot project",21,IF($G$10="grootschalig project",50))))</f>
        <v>0</v>
      </c>
      <c r="Q69" s="36" t="s">
        <v>154</v>
      </c>
    </row>
    <row r="70" spans="2:18" x14ac:dyDescent="0.35">
      <c r="B70" s="87">
        <f>IF(G70=H70,0,IF(G70&gt;H70,(I70-K70)*-M70,IF(G70&lt;H70,(K70-I70)*M70,0)))</f>
        <v>0</v>
      </c>
      <c r="C70" s="17">
        <f>MIN(B70,O70)</f>
        <v>0</v>
      </c>
      <c r="D70" s="50" t="s">
        <v>150</v>
      </c>
      <c r="E70" s="6" t="s">
        <v>155</v>
      </c>
      <c r="F70" s="6" t="s">
        <v>156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M70" s="38" t="e">
        <f>O70/P70</f>
        <v>#DIV/0!</v>
      </c>
      <c r="N70" s="6" t="s">
        <v>153</v>
      </c>
      <c r="O70" s="6">
        <v>4</v>
      </c>
      <c r="P70" s="14" t="b">
        <f>IF($G$10="klein project",6,IF($G$10="kleinschalig project",6,IF($G$10="middelgroot project",9,IF($G$10="grootschalig project",13))))</f>
        <v>0</v>
      </c>
      <c r="Q70" s="32" t="s">
        <v>154</v>
      </c>
    </row>
    <row r="71" spans="2:18" x14ac:dyDescent="0.35">
      <c r="B71" s="87">
        <f>IF(G71=H71,0,IF(G71&gt;H71,(I71-K71)*-M71,IF(G71&lt;H71,(K71-I71)*M71,0)))</f>
        <v>0</v>
      </c>
      <c r="C71" s="16">
        <f>MIN(B71,O71)</f>
        <v>0</v>
      </c>
      <c r="D71" s="59" t="s">
        <v>150</v>
      </c>
      <c r="E71" s="5" t="s">
        <v>157</v>
      </c>
      <c r="F71" s="26" t="s">
        <v>158</v>
      </c>
      <c r="G71" s="5">
        <v>0</v>
      </c>
      <c r="H71" s="5">
        <v>0</v>
      </c>
      <c r="I71" s="5">
        <v>0</v>
      </c>
      <c r="J71" s="5">
        <v>0</v>
      </c>
      <c r="K71" s="18">
        <v>0</v>
      </c>
      <c r="M71" s="37" t="e">
        <f t="shared" ref="M71:M73" si="13">O71/P71</f>
        <v>#DIV/0!</v>
      </c>
      <c r="N71" s="5" t="s">
        <v>153</v>
      </c>
      <c r="O71" s="5">
        <v>4</v>
      </c>
      <c r="P71" s="20" t="b">
        <f>IF($G$10="klein project",7,IF($G$10="kleinschalig project",7,IF($G$10="middelgroot project",15,IF($G$10="grootschalig project",30))))</f>
        <v>0</v>
      </c>
      <c r="Q71" s="36" t="s">
        <v>154</v>
      </c>
    </row>
    <row r="72" spans="2:18" x14ac:dyDescent="0.35">
      <c r="B72" s="87">
        <f>IF(G72=H72,0,IF(G72&gt;H72,(I72-K72)*-M72,IF(G72&lt;H72,(K72-I72)*M72,0)))</f>
        <v>0</v>
      </c>
      <c r="C72" s="17">
        <f>MIN(B72,O72)</f>
        <v>0</v>
      </c>
      <c r="D72" s="50" t="s">
        <v>150</v>
      </c>
      <c r="E72" s="6" t="s">
        <v>159</v>
      </c>
      <c r="F72" s="25" t="s">
        <v>160</v>
      </c>
      <c r="G72" s="6">
        <v>0</v>
      </c>
      <c r="H72" s="6">
        <v>0</v>
      </c>
      <c r="I72" s="6">
        <v>0</v>
      </c>
      <c r="J72" s="6">
        <v>0</v>
      </c>
      <c r="K72" s="27">
        <v>0</v>
      </c>
      <c r="M72" s="38" t="e">
        <f t="shared" si="13"/>
        <v>#DIV/0!</v>
      </c>
      <c r="N72" s="6" t="s">
        <v>153</v>
      </c>
      <c r="O72" s="6">
        <v>2</v>
      </c>
      <c r="P72" s="14" t="b">
        <f>IF($G$10="klein project",3,IF($G$10="kleinschalig project",3,IF($G$10="middelgroot project",5,IF($G$10="grootschalig project",7))))</f>
        <v>0</v>
      </c>
      <c r="Q72" s="32" t="s">
        <v>154</v>
      </c>
    </row>
    <row r="73" spans="2:18" x14ac:dyDescent="0.35">
      <c r="B73" s="87">
        <f>IF(G73=H73,0,IF(G73&gt;H73,(I73-K73)*-M73,IF(G73&lt;H73,(K73-I73)*M73,0)))</f>
        <v>0</v>
      </c>
      <c r="C73" s="16">
        <f>MIN(B73,O73)</f>
        <v>0</v>
      </c>
      <c r="D73" s="59" t="s">
        <v>150</v>
      </c>
      <c r="E73" s="5" t="s">
        <v>161</v>
      </c>
      <c r="F73" s="26" t="s">
        <v>162</v>
      </c>
      <c r="G73" s="5">
        <v>0</v>
      </c>
      <c r="H73" s="5">
        <v>0</v>
      </c>
      <c r="I73" s="5">
        <v>0</v>
      </c>
      <c r="J73" s="5">
        <v>0</v>
      </c>
      <c r="K73" s="18">
        <v>0</v>
      </c>
      <c r="M73" s="37" t="e">
        <f t="shared" si="13"/>
        <v>#DIV/0!</v>
      </c>
      <c r="N73" s="5" t="s">
        <v>153</v>
      </c>
      <c r="O73" s="5">
        <v>1</v>
      </c>
      <c r="P73" s="20" t="b">
        <f>IF($G$10="klein project",3,IF($G$10="kleinschalig project",3,IF($G$10="middelgroot project",6,IF($G$10="grootschalig project",10))))</f>
        <v>0</v>
      </c>
      <c r="Q73" s="36" t="s">
        <v>154</v>
      </c>
    </row>
    <row r="74" spans="2:18" ht="21.5" thickBot="1" x14ac:dyDescent="0.55000000000000004">
      <c r="B74" s="88">
        <f>SUM(B69:B73)</f>
        <v>0</v>
      </c>
      <c r="C74" s="39">
        <f>SUM(C69:C73)</f>
        <v>0</v>
      </c>
      <c r="D74" s="67"/>
      <c r="E74" s="67"/>
      <c r="F74" s="24" t="s">
        <v>163</v>
      </c>
      <c r="G74" s="65" t="e">
        <f>MIN(O74,R74)</f>
        <v>#VALUE!</v>
      </c>
      <c r="H74" s="65" t="s">
        <v>48</v>
      </c>
      <c r="I74" s="65"/>
      <c r="J74" s="3"/>
      <c r="K74" s="4"/>
      <c r="M74" s="10"/>
      <c r="N74" s="11"/>
      <c r="O74" s="11">
        <f>SUM(O69:O73)</f>
        <v>15</v>
      </c>
      <c r="P74" s="163" t="s">
        <v>164</v>
      </c>
      <c r="Q74" s="164"/>
      <c r="R74" s="11" t="e">
        <f>(0.145*LN(G7)-0.734)*O74</f>
        <v>#VALUE!</v>
      </c>
    </row>
  </sheetData>
  <mergeCells count="48">
    <mergeCell ref="G50:K50"/>
    <mergeCell ref="M68:N68"/>
    <mergeCell ref="P68:Q68"/>
    <mergeCell ref="P74:Q74"/>
    <mergeCell ref="P52:Q52"/>
    <mergeCell ref="M54:N54"/>
    <mergeCell ref="P54:Q54"/>
    <mergeCell ref="P66:Q66"/>
    <mergeCell ref="G65:K65"/>
    <mergeCell ref="G51:K51"/>
    <mergeCell ref="G57:K57"/>
    <mergeCell ref="G38:K38"/>
    <mergeCell ref="H19:K19"/>
    <mergeCell ref="P19:Q19"/>
    <mergeCell ref="M20:N20"/>
    <mergeCell ref="P20:Q20"/>
    <mergeCell ref="G23:K23"/>
    <mergeCell ref="P25:Q25"/>
    <mergeCell ref="M27:N27"/>
    <mergeCell ref="P27:Q27"/>
    <mergeCell ref="G35:K35"/>
    <mergeCell ref="G47:K47"/>
    <mergeCell ref="G48:K48"/>
    <mergeCell ref="G49:K49"/>
    <mergeCell ref="G17:H17"/>
    <mergeCell ref="A7:A10"/>
    <mergeCell ref="B7:B10"/>
    <mergeCell ref="D7:F7"/>
    <mergeCell ref="G7:H7"/>
    <mergeCell ref="D8:F8"/>
    <mergeCell ref="G8:H8"/>
    <mergeCell ref="D9:F9"/>
    <mergeCell ref="G9:H9"/>
    <mergeCell ref="D10:F10"/>
    <mergeCell ref="G10:H10"/>
    <mergeCell ref="B12:B15"/>
    <mergeCell ref="C12:C15"/>
    <mergeCell ref="C2:C3"/>
    <mergeCell ref="D2:F2"/>
    <mergeCell ref="G2:H2"/>
    <mergeCell ref="D3:F3"/>
    <mergeCell ref="G3:H3"/>
    <mergeCell ref="J2:L5"/>
    <mergeCell ref="J7:L9"/>
    <mergeCell ref="D17:F17"/>
    <mergeCell ref="D12:F15"/>
    <mergeCell ref="D5:F5"/>
    <mergeCell ref="G5:H5"/>
  </mergeCells>
  <conditionalFormatting sqref="A54:XFD1048576">
    <cfRule type="expression" dxfId="11" priority="3">
      <formula>$G$2="infrastructureel"</formula>
    </cfRule>
  </conditionalFormatting>
  <conditionalFormatting sqref="B25:C25">
    <cfRule type="cellIs" dxfId="10" priority="19" operator="lessThan">
      <formula>$G$25</formula>
    </cfRule>
    <cfRule type="cellIs" dxfId="9" priority="20" operator="greaterThanOrEqual">
      <formula>$G$25</formula>
    </cfRule>
  </conditionalFormatting>
  <conditionalFormatting sqref="B52:C52">
    <cfRule type="cellIs" dxfId="8" priority="21" operator="lessThan">
      <formula>$G$52</formula>
    </cfRule>
    <cfRule type="cellIs" dxfId="7" priority="22" operator="greaterThanOrEqual">
      <formula>$G$52</formula>
    </cfRule>
  </conditionalFormatting>
  <conditionalFormatting sqref="B66:C66">
    <cfRule type="cellIs" dxfId="6" priority="23" operator="lessThan">
      <formula>$G$66</formula>
    </cfRule>
    <cfRule type="cellIs" dxfId="5" priority="24" operator="greaterThanOrEqual">
      <formula>$G$66</formula>
    </cfRule>
  </conditionalFormatting>
  <conditionalFormatting sqref="B74:C74">
    <cfRule type="cellIs" dxfId="4" priority="25" operator="lessThan">
      <formula>$G$74</formula>
    </cfRule>
    <cfRule type="cellIs" dxfId="3" priority="26" operator="greaterThanOrEqual">
      <formula>$G$74</formula>
    </cfRule>
  </conditionalFormatting>
  <conditionalFormatting sqref="G8:H8">
    <cfRule type="expression" dxfId="2" priority="7">
      <formula>"$G$2=''infrastructureel''"</formula>
    </cfRule>
  </conditionalFormatting>
  <conditionalFormatting sqref="G8:H9">
    <cfRule type="expression" dxfId="1" priority="6">
      <formula>$G$2="infrastructureel"</formula>
    </cfRule>
  </conditionalFormatting>
  <conditionalFormatting sqref="G14:H15">
    <cfRule type="expression" dxfId="0" priority="5">
      <formula>$G$2="infrastructureel"</formula>
    </cfRule>
  </conditionalFormatting>
  <dataValidations count="6">
    <dataValidation type="list" allowBlank="1" showDropDown="1" showInputMessage="1" showErrorMessage="1" sqref="H66:K66 H52:K52" xr:uid="{6073A0DD-6593-4453-BA04-CF1F4FEF084B}">
      <formula1>"&lt; invullen &gt;, toepassen"</formula1>
    </dataValidation>
    <dataValidation type="list" allowBlank="1" showInputMessage="1" showErrorMessage="1" sqref="G57:K57" xr:uid="{573CB08C-EC99-4FCC-B337-8EBA9A91CF41}">
      <formula1>"&lt; invullen &gt;, lichtuitstraling vermijden,lichtuitstraling vermijden conform ecologisch lichtplan"</formula1>
    </dataValidation>
    <dataValidation type="list" allowBlank="1" showInputMessage="1" showErrorMessage="1" sqref="G35:K35 G38:K38 G65:K65 G47:K51" xr:uid="{D57D90D7-7CF8-4F8A-9DC0-F09CF1DC0F41}">
      <formula1>"&lt; invullen &gt;, toepassen"</formula1>
    </dataValidation>
    <dataValidation type="list" allowBlank="1" showInputMessage="1" showErrorMessage="1" sqref="G23:K23" xr:uid="{F9102397-E0BB-4187-91AB-A48C38EB2B2B}">
      <formula1>"&lt; invullen &gt;, 1/3 groeiplaatsverbetering, 2/3 groeiplaatsverbetering, 100% groeiplaatsverbetering"</formula1>
    </dataValidation>
    <dataValidation type="list" allowBlank="1" showInputMessage="1" showErrorMessage="1" sqref="G2" xr:uid="{6EEB0E9E-6B4B-4849-9CF1-9191FE3995A8}">
      <formula1>"infrastructureel,groene nieuwbouw,groene ingreep,&lt; invullen stap 1a &gt;"</formula1>
    </dataValidation>
    <dataValidation type="list" allowBlank="1" showInputMessage="1" showErrorMessage="1" sqref="G3" xr:uid="{05188155-4104-470B-84C7-54F8D4538464}">
      <formula1>"binnenstad,bedrijven + kantoren,wonen,groen gebieden,&lt; invullen stap 1b &gt;"</formula1>
    </dataValidation>
  </dataValidations>
  <pageMargins left="0.7" right="0.7" top="0.75" bottom="0.75" header="0.3" footer="0.3"/>
  <ignoredErrors>
    <ignoredError sqref="M44 B57" formula="1"/>
    <ignoredError sqref="M42 M58:M59 M60:M64 P58:P64 G66 R66 P42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cadis Document" ma:contentTypeID="0x010100B461F6A611BD4B3683134864140FA5460007BC74D9D1027043842438E929C19C11" ma:contentTypeVersion="5" ma:contentTypeDescription=" " ma:contentTypeScope="" ma:versionID="9e2dcf8f86494ca6c29071c620766590">
  <xsd:schema xmlns:xsd="http://www.w3.org/2001/XMLSchema" xmlns:xs="http://www.w3.org/2001/XMLSchema" xmlns:p="http://schemas.microsoft.com/office/2006/metadata/properties" xmlns:ns2="1b2f2d65-afcf-47e0-82d7-c0bcbb5290e5" xmlns:ns3="606417ce-0eec-4242-9c40-8c5e6fe1557c" targetNamespace="http://schemas.microsoft.com/office/2006/metadata/properties" ma:root="true" ma:fieldsID="428c28144b01d4554138fd402a5d4d5c" ns2:_="" ns3:_="">
    <xsd:import namespace="1b2f2d65-afcf-47e0-82d7-c0bcbb5290e5"/>
    <xsd:import namespace="606417ce-0eec-4242-9c40-8c5e6fe155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m9ab48ff457747d2978187f0c89531d3" minOccurs="0"/>
                <xsd:element ref="ns2:TaxCatchAll" minOccurs="0"/>
                <xsd:element ref="ns2:TaxCatchAllLabel" minOccurs="0"/>
                <xsd:element ref="ns2:PH_ApprovalStatus" minOccurs="0"/>
                <xsd:element ref="ns2:PH_ApprovalComment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f2d65-afcf-47e0-82d7-c0bcbb5290e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ab48ff457747d2978187f0c89531d3" ma:index="11" nillable="true" ma:taxonomy="true" ma:internalName="m9ab48ff457747d2978187f0c89531d3" ma:taxonomyFieldName="PH_DocumentType" ma:displayName="Document type" ma:fieldId="{69ab48ff-4577-47d2-9781-87f0c89531d3}" ma:taxonomyMulti="true" ma:sspId="f35aeea7-e848-442f-a6c3-04e7a31ee3df" ma:termSetId="2be59371-a910-4df7-9b6b-b17e82a11a61" ma:anchorId="c38da1d8-d4e5-423a-8e02-92e13b7a269b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779c5d2b-17a2-4259-a1af-f4b59296f3f9}" ma:internalName="TaxCatchAll" ma:showField="CatchAllData" ma:web="1b2f2d65-afcf-47e0-82d7-c0bcbb529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79c5d2b-17a2-4259-a1af-f4b59296f3f9}" ma:internalName="TaxCatchAllLabel" ma:readOnly="true" ma:showField="CatchAllDataLabel" ma:web="1b2f2d65-afcf-47e0-82d7-c0bcbb529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H_ApprovalStatus" ma:index="15" nillable="true" ma:displayName="Approval Status" ma:default="Draft" ma:format="Dropdown" ma:hidden="true" ma:internalName="PH_ApprovalStatus" ma:readOnly="false">
      <xsd:simpleType>
        <xsd:restriction base="dms:Choice">
          <xsd:enumeration value="Draft"/>
          <xsd:enumeration value="Initializing"/>
          <xsd:enumeration value="Pending"/>
          <xsd:enumeration value="Pending Approval"/>
          <xsd:enumeration value="Pending Review"/>
          <xsd:enumeration value="Approved"/>
          <xsd:enumeration value="Rejected"/>
          <xsd:enumeration value="Review Approved"/>
          <xsd:enumeration value="Review Rejected"/>
          <xsd:enumeration value="Cancelled"/>
        </xsd:restriction>
      </xsd:simpleType>
    </xsd:element>
    <xsd:element name="PH_ApprovalComments" ma:index="17" nillable="true" ma:displayName="Approval Comments" ma:description="Approval Comments" ma:internalName="PH_ApprovalComment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17ce-0eec-4242-9c40-8c5e6fe15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567E020F7F840898D66D4D883E9D9" ma:contentTypeVersion="17" ma:contentTypeDescription="Een nieuw document maken." ma:contentTypeScope="" ma:versionID="729482ac3ce7319650c890d79b569339">
  <xsd:schema xmlns:xsd="http://www.w3.org/2001/XMLSchema" xmlns:xs="http://www.w3.org/2001/XMLSchema" xmlns:p="http://schemas.microsoft.com/office/2006/metadata/properties" xmlns:ns2="290fe9b1-0e0a-41b2-bff8-0defbac66dfb" xmlns:ns3="452efbee-6753-472a-8348-37018da782fa" targetNamespace="http://schemas.microsoft.com/office/2006/metadata/properties" ma:root="true" ma:fieldsID="1352d3a637d17b2adaa7791e094635a2" ns2:_="" ns3:_="">
    <xsd:import namespace="290fe9b1-0e0a-41b2-bff8-0defbac66dfb"/>
    <xsd:import namespace="452efbee-6753-472a-8348-37018da782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fe9b1-0e0a-41b2-bff8-0defbac66d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dd31dba-4ffc-458a-9f3c-d544d6e5447b}" ma:internalName="TaxCatchAll" ma:showField="CatchAllData" ma:web="290fe9b1-0e0a-41b2-bff8-0defbac66d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efbee-6753-472a-8348-37018da78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0fe9b1-0e0a-41b2-bff8-0defbac66dfb" xsi:nil="true"/>
    <lcf76f155ced4ddcb4097134ff3c332f xmlns="452efbee-6753-472a-8348-37018da782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B1D322-F3DB-4906-9E16-7B3C76F9A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2f2d65-afcf-47e0-82d7-c0bcbb5290e5"/>
    <ds:schemaRef ds:uri="606417ce-0eec-4242-9c40-8c5e6fe155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62BDB5-3D88-48F1-A63F-2D83C4CE2A97}"/>
</file>

<file path=customXml/itemProps3.xml><?xml version="1.0" encoding="utf-8"?>
<ds:datastoreItem xmlns:ds="http://schemas.openxmlformats.org/officeDocument/2006/customXml" ds:itemID="{CBAA03AF-B24B-46EB-9679-790C2ADE74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173715-6152-4C47-BC88-7D4B65703089}">
  <ds:schemaRefs>
    <ds:schemaRef ds:uri="http://schemas.microsoft.com/office/2006/metadata/properties"/>
    <ds:schemaRef ds:uri="http://schemas.microsoft.com/office/infopath/2007/PartnerControls"/>
    <ds:schemaRef ds:uri="1b2f2d65-afcf-47e0-82d7-c0bcbb5290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Puntensysteem Amersfoort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Gool, Robbert</dc:creator>
  <cp:keywords/>
  <dc:description/>
  <cp:lastModifiedBy>Biemans, Bart</cp:lastModifiedBy>
  <cp:revision/>
  <dcterms:created xsi:type="dcterms:W3CDTF">2021-03-25T10:06:20Z</dcterms:created>
  <dcterms:modified xsi:type="dcterms:W3CDTF">2025-11-12T13:32:30Z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0x0101007CD567E020F7F840898D66D4D883E9D9</vt:lpwstr>
  </property>
  <property fmtid="{D5CDD505-2E9C-101B-9397-08002B2CF9AE}" pid="3" name="_dlc_DocIdItemGuid">
    <vt:lpwstr>bd3a6aa1-271b-41dd-86c6-778ab104b444</vt:lpwstr>
  </property>
  <property fmtid="{D5CDD505-2E9C-101B-9397-08002B2CF9AE}" pid="4" name="PH_DocumentType">
    <vt:lpwstr/>
  </property>
</Properties>
</file>